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1"/>
  <workbookPr showInkAnnotation="0" codeName="ThisWorkbook" autoCompressPictures="0"/>
  <mc:AlternateContent xmlns:mc="http://schemas.openxmlformats.org/markup-compatibility/2006">
    <mc:Choice Requires="x15">
      <x15ac:absPath xmlns:x15ac="http://schemas.microsoft.com/office/spreadsheetml/2010/11/ac" url="/Users/go/kDrive2/# HFR/Externe/ZK-KAI/EXCEL/"/>
    </mc:Choice>
  </mc:AlternateContent>
  <xr:revisionPtr revIDLastSave="0" documentId="13_ncr:1_{1964B057-29B1-2944-AC4A-4A3A033BDCD8}" xr6:coauthVersionLast="47" xr6:coauthVersionMax="47" xr10:uidLastSave="{00000000-0000-0000-0000-000000000000}"/>
  <workbookProtection workbookAlgorithmName="SHA-512" workbookHashValue="ngJvxjXGz1v96hk7CJ4GwJgDJvqUeedgXkUVOerA2xLfyxLSn6KgeTxLNuo3hCTWTGBdjmrfiBYwjYJPUxxvtA==" workbookSaltValue="Sb65Yn9N7KJOxwfe00+PxA==" workbookSpinCount="100000" lockStructure="1"/>
  <bookViews>
    <workbookView xWindow="7560" yWindow="2980" windowWidth="63480" windowHeight="36280" tabRatio="969" activeTab="4" xr2:uid="{00000000-000D-0000-FFFF-FFFF00000000}"/>
  </bookViews>
  <sheets>
    <sheet name="4a Exp-ZK" sheetId="31" state="hidden" r:id="rId1"/>
    <sheet name="4b Visitation" sheetId="15" state="hidden" r:id="rId2"/>
    <sheet name="4c PlanVisit." sheetId="30" state="hidden" r:id="rId3"/>
    <sheet name="4d Report" sheetId="19" state="hidden" r:id="rId4"/>
    <sheet name="0 PROZEDUR" sheetId="26" r:id="rId5"/>
    <sheet name="1 ANTRAG-DEMANDE" sheetId="18" r:id="rId6"/>
    <sheet name="2 Autodeklaration" sheetId="11" r:id="rId7"/>
    <sheet name="3 DATA-EPT-FTE" sheetId="29" r:id="rId8"/>
    <sheet name="Kriterien" sheetId="14" state="hidden" r:id="rId9"/>
    <sheet name="IMK" sheetId="35" state="hidden" r:id="rId10"/>
    <sheet name="Historik Version" sheetId="24" state="hidden" r:id="rId11"/>
    <sheet name="Liste" sheetId="17" state="hidden" r:id="rId12"/>
  </sheets>
  <definedNames>
    <definedName name="_xlnm.Print_Titles" localSheetId="5">'1 ANTRAG-DEMANDE'!$6:$6</definedName>
    <definedName name="_xlnm.Print_Titles" localSheetId="6">'2 Autodeklaration'!$16:$18</definedName>
    <definedName name="_xlnm.Print_Titles" localSheetId="7">'3 DATA-EPT-FTE'!$A:$E,'3 DATA-EPT-FTE'!$32:$36</definedName>
    <definedName name="_xlnm.Print_Titles" localSheetId="1">'4b Visitation'!$A:$E,'4b Visitation'!$102:$105</definedName>
    <definedName name="_xlnm.Print_Titles" localSheetId="3">'4d Report'!$A:$T,'4d Report'!$5:$5</definedName>
    <definedName name="_xlnm.Print_Titles" localSheetId="10">'Historik Version'!$1:$1</definedName>
    <definedName name="_xlnm.Print_Titles" localSheetId="8">Kriterien!$19:$21</definedName>
    <definedName name="Kontrollkästchen19" localSheetId="11">Liste!#REF!</definedName>
    <definedName name="Kontrollkästchen20" localSheetId="11">Liste!#REF!</definedName>
    <definedName name="Text11" localSheetId="11">Liste!#REF!</definedName>
    <definedName name="Text12" localSheetId="11">Liste!#REF!</definedName>
    <definedName name="Text13" localSheetId="11">Liste!#REF!</definedName>
    <definedName name="Text14" localSheetId="11">Liste!#REF!</definedName>
    <definedName name="Text15" localSheetId="11">Liste!#REF!</definedName>
    <definedName name="Text16" localSheetId="11">Liste!#REF!</definedName>
    <definedName name="Text17" localSheetId="11">Liste!#REF!</definedName>
    <definedName name="Text18" localSheetId="11">Liste!#REF!</definedName>
    <definedName name="Text19" localSheetId="11">Liste!#REF!</definedName>
    <definedName name="Text20" localSheetId="11">Liste!#REF!</definedName>
    <definedName name="Text31" localSheetId="11">Liste!#REF!</definedName>
    <definedName name="Text32" localSheetId="11">Liste!#REF!</definedName>
    <definedName name="Text34" localSheetId="11">Liste!#REF!</definedName>
    <definedName name="_xlnm.Print_Area" localSheetId="5">'1 ANTRAG-DEMANDE'!$A$10:$D$188</definedName>
    <definedName name="_xlnm.Print_Area" localSheetId="6">'2 Autodeklaration'!$A$13:$F$251</definedName>
    <definedName name="_xlnm.Print_Area" localSheetId="7">'3 DATA-EPT-FTE'!$A$34:$L$95</definedName>
    <definedName name="_xlnm.Print_Area" localSheetId="1">'4b Visitation'!$A$48:$I$363</definedName>
    <definedName name="_xlnm.Print_Area" localSheetId="2">'4c PlanVisit.'!$C$12:$J$33</definedName>
    <definedName name="_xlnm.Print_Area" localSheetId="3">'4d Report'!$A$4:$E$61</definedName>
    <definedName name="_xlnm.Print_Area" localSheetId="8">Kriterien!$A$6:$E$246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26" l="1"/>
  <c r="B8" i="26"/>
  <c r="BA9" i="26"/>
  <c r="AX9" i="26"/>
  <c r="AY9" i="26"/>
  <c r="AZ9" i="26"/>
  <c r="AI7" i="18"/>
  <c r="E7" i="18" s="1"/>
  <c r="D7" i="18"/>
  <c r="A1" i="30"/>
  <c r="D6" i="30" l="1"/>
  <c r="D5" i="30"/>
  <c r="AB15" i="30"/>
  <c r="C15" i="30" s="1"/>
  <c r="AB8" i="30"/>
  <c r="M5" i="30" s="1"/>
  <c r="AQ12" i="26"/>
  <c r="B12" i="26" s="1"/>
  <c r="AN11" i="26"/>
  <c r="E11" i="26" s="1"/>
  <c r="AN10" i="26"/>
  <c r="E10" i="26" s="1"/>
  <c r="AN12" i="26"/>
  <c r="E12" i="26" s="1"/>
  <c r="AN9" i="26"/>
  <c r="E9" i="26" s="1"/>
  <c r="Y41" i="31"/>
  <c r="B41" i="31" s="1"/>
  <c r="AB41" i="31"/>
  <c r="AB39" i="31"/>
  <c r="G39" i="31" s="1"/>
  <c r="AE14" i="30" l="1"/>
  <c r="G14" i="30" s="1"/>
  <c r="T38" i="31"/>
  <c r="T39" i="31"/>
  <c r="S39" i="31"/>
  <c r="R39" i="31"/>
  <c r="Q38" i="31"/>
  <c r="S38" i="31" s="1"/>
  <c r="H17" i="15"/>
  <c r="G17" i="15"/>
  <c r="F17" i="15"/>
  <c r="AB42" i="31" l="1"/>
  <c r="Y42" i="31"/>
  <c r="AB38" i="31"/>
  <c r="Y39" i="31"/>
  <c r="Q39" i="31" s="1"/>
  <c r="Y38" i="31"/>
  <c r="B38" i="31" s="1"/>
  <c r="AF27" i="17"/>
  <c r="AE27" i="17"/>
  <c r="AD27" i="17"/>
  <c r="AC27" i="17"/>
  <c r="AF26" i="17"/>
  <c r="AE26" i="17"/>
  <c r="AD26" i="17"/>
  <c r="AC26" i="17"/>
  <c r="AF25" i="17"/>
  <c r="AE25" i="17"/>
  <c r="AD25" i="17"/>
  <c r="AC25" i="17"/>
  <c r="AF24" i="17"/>
  <c r="AE24" i="17"/>
  <c r="AD24" i="17"/>
  <c r="AC24" i="17"/>
  <c r="AF23" i="17"/>
  <c r="AE23" i="17"/>
  <c r="AD23" i="17"/>
  <c r="AC23" i="17"/>
  <c r="AF22" i="17"/>
  <c r="AE22" i="17"/>
  <c r="AD22" i="17"/>
  <c r="AC22" i="17"/>
  <c r="AF21" i="17"/>
  <c r="AE21" i="17"/>
  <c r="AD21" i="17"/>
  <c r="AC21" i="17"/>
  <c r="AF20" i="17"/>
  <c r="AE20" i="17"/>
  <c r="AD20" i="17"/>
  <c r="AC20" i="17"/>
  <c r="AF19" i="17"/>
  <c r="AE19" i="17"/>
  <c r="AD19" i="17"/>
  <c r="AC19" i="17"/>
  <c r="AF18" i="17"/>
  <c r="AE18" i="17"/>
  <c r="AD18" i="17"/>
  <c r="AC18" i="17"/>
  <c r="AF17" i="17"/>
  <c r="AE17" i="17"/>
  <c r="AD17" i="17"/>
  <c r="AC17" i="17"/>
  <c r="AF16" i="17"/>
  <c r="AE16" i="17"/>
  <c r="AD16" i="17"/>
  <c r="AC16" i="17"/>
  <c r="AF15" i="17"/>
  <c r="AE15" i="17"/>
  <c r="AD15" i="17"/>
  <c r="AC15" i="17"/>
  <c r="AF14" i="17"/>
  <c r="AE14" i="17"/>
  <c r="AD14" i="17"/>
  <c r="AC14" i="17"/>
  <c r="AF13" i="17"/>
  <c r="AE13" i="17"/>
  <c r="AD13" i="17"/>
  <c r="AC13" i="17"/>
  <c r="AF12" i="17"/>
  <c r="AE12" i="17"/>
  <c r="AD12" i="17"/>
  <c r="AC12" i="17"/>
  <c r="AF11" i="17"/>
  <c r="AE11" i="17"/>
  <c r="AD11" i="17"/>
  <c r="AC11" i="17"/>
  <c r="AF10" i="17"/>
  <c r="AE10" i="17"/>
  <c r="AD10" i="17"/>
  <c r="AC10" i="17"/>
  <c r="AF9" i="17"/>
  <c r="AE9" i="17"/>
  <c r="AD9" i="17"/>
  <c r="AC9" i="17"/>
  <c r="AF8" i="17"/>
  <c r="AE8" i="17"/>
  <c r="AD8" i="17"/>
  <c r="AC8" i="17"/>
  <c r="AF7" i="17"/>
  <c r="AE7" i="17"/>
  <c r="AD7" i="17"/>
  <c r="AC7" i="17"/>
  <c r="AF6" i="17"/>
  <c r="AE6" i="17"/>
  <c r="AD6" i="17"/>
  <c r="AC6" i="17"/>
  <c r="AF5" i="17"/>
  <c r="AE5" i="17"/>
  <c r="AD5" i="17"/>
  <c r="AC5" i="17"/>
  <c r="AF4" i="17"/>
  <c r="AE4" i="17"/>
  <c r="AD4" i="17"/>
  <c r="AC4" i="17"/>
  <c r="AF3" i="17"/>
  <c r="AE3" i="17"/>
  <c r="AD3" i="17"/>
  <c r="AC3" i="17"/>
  <c r="F16" i="15" s="1"/>
  <c r="AF2" i="17"/>
  <c r="AF1" i="17"/>
  <c r="AE2" i="17"/>
  <c r="AE1" i="17"/>
  <c r="AD2" i="17"/>
  <c r="AC2" i="17"/>
  <c r="H15" i="15" l="1"/>
  <c r="H16" i="15"/>
  <c r="F15" i="15"/>
  <c r="G16" i="15"/>
  <c r="G15" i="15"/>
  <c r="H14" i="15"/>
  <c r="F14" i="15"/>
  <c r="G14" i="15"/>
  <c r="H20" i="15" l="1"/>
  <c r="C20" i="15"/>
  <c r="H19" i="15"/>
  <c r="C19" i="15"/>
  <c r="AF6" i="18" l="1"/>
  <c r="E6" i="18" s="1"/>
  <c r="AN22" i="26" l="1"/>
  <c r="B23" i="26" s="1"/>
  <c r="AQ22" i="26"/>
  <c r="E22" i="26" s="1"/>
  <c r="AQ28" i="26"/>
  <c r="E27" i="26" s="1"/>
  <c r="AQ27" i="26"/>
  <c r="F27" i="26" s="1"/>
  <c r="AQ26" i="26"/>
  <c r="B27" i="26" s="1"/>
  <c r="AQ25" i="26"/>
  <c r="AQ24" i="26"/>
  <c r="AQ20" i="26"/>
  <c r="AQ19" i="26"/>
  <c r="AQ18" i="26"/>
  <c r="AQ17" i="26"/>
  <c r="AQ21" i="26"/>
  <c r="AQ47" i="26"/>
  <c r="AH47" i="26" s="1"/>
  <c r="AQ46" i="26"/>
  <c r="AH46" i="26" s="1"/>
  <c r="AQ45" i="26"/>
  <c r="AH45" i="26" s="1"/>
  <c r="AQ44" i="26"/>
  <c r="AH44" i="26" s="1"/>
  <c r="AQ43" i="26"/>
  <c r="AH43" i="26" s="1"/>
  <c r="AQ42" i="26"/>
  <c r="AH42" i="26" s="1"/>
  <c r="AQ41" i="26"/>
  <c r="AH41" i="26" s="1"/>
  <c r="AQ40" i="26"/>
  <c r="AH40" i="26" s="1"/>
  <c r="AQ39" i="26"/>
  <c r="AH39" i="26" s="1"/>
  <c r="AQ38" i="26"/>
  <c r="AH38" i="26" s="1"/>
  <c r="AQ37" i="26"/>
  <c r="AH37" i="26" s="1"/>
  <c r="AQ36" i="26"/>
  <c r="AH36" i="26" s="1"/>
  <c r="AQ35" i="26"/>
  <c r="AH35" i="26" s="1"/>
  <c r="AQ34" i="26"/>
  <c r="AH34" i="26" s="1"/>
  <c r="AQ33" i="26"/>
  <c r="AH33" i="26" s="1"/>
  <c r="AQ32" i="26"/>
  <c r="AH32" i="26" s="1"/>
  <c r="AQ31" i="26"/>
  <c r="AH31" i="26" s="1"/>
  <c r="AQ30" i="26"/>
  <c r="AH30" i="26" s="1"/>
  <c r="AQ29" i="26"/>
  <c r="AH29" i="26" s="1"/>
  <c r="AN49" i="26"/>
  <c r="AN48" i="26"/>
  <c r="AN47" i="26"/>
  <c r="B47" i="26" s="1"/>
  <c r="AN46" i="26"/>
  <c r="B46" i="26" s="1"/>
  <c r="AN45" i="26"/>
  <c r="B45" i="26" s="1"/>
  <c r="AN44" i="26"/>
  <c r="B44" i="26" s="1"/>
  <c r="AN43" i="26"/>
  <c r="B43" i="26" s="1"/>
  <c r="AN42" i="26"/>
  <c r="B42" i="26" s="1"/>
  <c r="AN41" i="26"/>
  <c r="B41" i="26" s="1"/>
  <c r="AN40" i="26"/>
  <c r="B40" i="26" s="1"/>
  <c r="AN39" i="26"/>
  <c r="B39" i="26" s="1"/>
  <c r="AN38" i="26"/>
  <c r="B38" i="26" s="1"/>
  <c r="AN37" i="26"/>
  <c r="B37" i="26" s="1"/>
  <c r="AN36" i="26"/>
  <c r="B36" i="26" s="1"/>
  <c r="AN35" i="26"/>
  <c r="B35" i="26" s="1"/>
  <c r="AN34" i="26"/>
  <c r="B34" i="26" s="1"/>
  <c r="AN33" i="26"/>
  <c r="B33" i="26" s="1"/>
  <c r="AN32" i="26"/>
  <c r="B32" i="26" s="1"/>
  <c r="AN31" i="26"/>
  <c r="B31" i="26" s="1"/>
  <c r="AN30" i="26"/>
  <c r="B30" i="26" s="1"/>
  <c r="AN29" i="26"/>
  <c r="B29" i="26" s="1"/>
  <c r="AN28" i="26"/>
  <c r="D27" i="26" s="1"/>
  <c r="AN27" i="26"/>
  <c r="C27" i="26" s="1"/>
  <c r="AN26" i="26"/>
  <c r="A26" i="26" s="1"/>
  <c r="AG30" i="26"/>
  <c r="AG32" i="26"/>
  <c r="A41" i="26"/>
  <c r="A43" i="26"/>
  <c r="AN24" i="26"/>
  <c r="AN25" i="26"/>
  <c r="AB24" i="31"/>
  <c r="F24" i="31" s="1"/>
  <c r="Y24" i="31"/>
  <c r="B24" i="31" s="1"/>
  <c r="Y22" i="31"/>
  <c r="B22" i="31" s="1"/>
  <c r="Y28" i="31"/>
  <c r="F27" i="31" s="1"/>
  <c r="Y30" i="31"/>
  <c r="AB30" i="31"/>
  <c r="AB34" i="31"/>
  <c r="AB33" i="31"/>
  <c r="AB32" i="31"/>
  <c r="AB31" i="31"/>
  <c r="AB29" i="31"/>
  <c r="AB27" i="31"/>
  <c r="Y34" i="31"/>
  <c r="Y33" i="31"/>
  <c r="Y32" i="31"/>
  <c r="Y31" i="31"/>
  <c r="Y29" i="31"/>
  <c r="Y27" i="31"/>
  <c r="R31" i="31"/>
  <c r="Q32" i="31"/>
  <c r="Y3" i="31"/>
  <c r="C3" i="31" s="1"/>
  <c r="AB3" i="31"/>
  <c r="E3" i="31" s="1"/>
  <c r="AB13" i="31"/>
  <c r="A5" i="31" s="1"/>
  <c r="AB5" i="31"/>
  <c r="AB4" i="31"/>
  <c r="F3" i="31" s="1"/>
  <c r="AB23" i="31"/>
  <c r="G23" i="31" s="1"/>
  <c r="Y23" i="31"/>
  <c r="B23" i="31" s="1"/>
  <c r="AB21" i="31"/>
  <c r="G21" i="31" s="1"/>
  <c r="Y21" i="31"/>
  <c r="B21" i="31" s="1"/>
  <c r="AB20" i="31"/>
  <c r="G20" i="31" s="1"/>
  <c r="Y20" i="31"/>
  <c r="B20" i="31" s="1"/>
  <c r="AB19" i="31"/>
  <c r="Y19" i="31"/>
  <c r="B19" i="31" s="1"/>
  <c r="AB18" i="31"/>
  <c r="Y18" i="31"/>
  <c r="B18" i="31" s="1"/>
  <c r="AB17" i="31"/>
  <c r="G17" i="31" s="1"/>
  <c r="Y17" i="31"/>
  <c r="B17" i="31" s="1"/>
  <c r="AB16" i="31"/>
  <c r="Y16" i="31"/>
  <c r="B16" i="31" s="1"/>
  <c r="AB15" i="31"/>
  <c r="Y15" i="31"/>
  <c r="B15" i="31" s="1"/>
  <c r="AB14" i="31"/>
  <c r="F14" i="31" s="1"/>
  <c r="Y14" i="31"/>
  <c r="B14" i="31" s="1"/>
  <c r="Y13" i="31"/>
  <c r="B13" i="31" s="1"/>
  <c r="Y12" i="31"/>
  <c r="B12" i="31" s="1"/>
  <c r="Y11" i="31"/>
  <c r="B11" i="31" s="1"/>
  <c r="Y10" i="31"/>
  <c r="B10" i="31" s="1"/>
  <c r="AB11" i="31"/>
  <c r="F13" i="31" s="1"/>
  <c r="Y9" i="31"/>
  <c r="B9" i="31" s="1"/>
  <c r="AB10" i="31"/>
  <c r="F20" i="31" s="1"/>
  <c r="Y8" i="31"/>
  <c r="B8" i="31" s="1"/>
  <c r="AB9" i="31"/>
  <c r="F12" i="31" s="1"/>
  <c r="Y7" i="31"/>
  <c r="B7" i="31" s="1"/>
  <c r="AB8" i="31"/>
  <c r="F7" i="31" s="1"/>
  <c r="Y6" i="31"/>
  <c r="B6" i="31" s="1"/>
  <c r="AB7" i="31"/>
  <c r="E18" i="31" s="1"/>
  <c r="AB6" i="31"/>
  <c r="E7" i="31" s="1"/>
  <c r="Y4" i="31"/>
  <c r="B3" i="31" s="1"/>
  <c r="AI40" i="26" l="1"/>
  <c r="AJ40" i="26" s="1"/>
  <c r="C34" i="26"/>
  <c r="S32" i="31"/>
  <c r="T32" i="31" s="1"/>
  <c r="R38" i="31"/>
  <c r="B39" i="31" s="1"/>
  <c r="S33" i="31"/>
  <c r="T33" i="31" s="1"/>
  <c r="Q33" i="31"/>
  <c r="Q34" i="31" s="1"/>
  <c r="AI32" i="26"/>
  <c r="AJ32" i="26" s="1"/>
  <c r="AI45" i="26"/>
  <c r="AJ45" i="26" s="1"/>
  <c r="AI37" i="26"/>
  <c r="AJ37" i="26" s="1"/>
  <c r="AI47" i="26"/>
  <c r="AJ47" i="26" s="1"/>
  <c r="AI39" i="26"/>
  <c r="AJ39" i="26" s="1"/>
  <c r="AI44" i="26"/>
  <c r="AJ44" i="26" s="1"/>
  <c r="AI36" i="26"/>
  <c r="AJ36" i="26" s="1"/>
  <c r="AI41" i="26"/>
  <c r="AJ41" i="26" s="1"/>
  <c r="AG33" i="26"/>
  <c r="AG34" i="26" s="1"/>
  <c r="AI42" i="26"/>
  <c r="AJ42" i="26" s="1"/>
  <c r="AI38" i="26"/>
  <c r="AJ38" i="26" s="1"/>
  <c r="C33" i="26"/>
  <c r="AJ33" i="26" s="1"/>
  <c r="AI46" i="26"/>
  <c r="AJ46" i="26" s="1"/>
  <c r="AI35" i="26"/>
  <c r="AJ35" i="26" s="1"/>
  <c r="AJ34" i="26"/>
  <c r="AI43" i="26"/>
  <c r="AJ43" i="26" s="1"/>
  <c r="S34" i="31"/>
  <c r="T34" i="31" s="1"/>
  <c r="E24" i="31"/>
  <c r="E22" i="31"/>
  <c r="F22" i="31"/>
  <c r="D29" i="31"/>
  <c r="F29" i="31"/>
  <c r="C29" i="31"/>
  <c r="B29" i="31"/>
  <c r="R32" i="31"/>
  <c r="B32" i="31"/>
  <c r="A29" i="31"/>
  <c r="E29" i="31"/>
  <c r="B27" i="31"/>
  <c r="B33" i="31"/>
  <c r="R34" i="31"/>
  <c r="B34" i="31"/>
  <c r="R33" i="31"/>
  <c r="G3" i="31"/>
  <c r="F6" i="31"/>
  <c r="F8" i="31"/>
  <c r="E21" i="31"/>
  <c r="F21" i="31"/>
  <c r="F18" i="31"/>
  <c r="E10" i="31"/>
  <c r="E13" i="31"/>
  <c r="F10" i="31"/>
  <c r="E20" i="31"/>
  <c r="E23" i="31"/>
  <c r="F11" i="31"/>
  <c r="E8" i="31"/>
  <c r="E6" i="31"/>
  <c r="E11" i="31"/>
  <c r="E9" i="31"/>
  <c r="F9" i="31"/>
  <c r="E14" i="31"/>
  <c r="E12" i="31"/>
  <c r="AF125" i="18"/>
  <c r="A125" i="18" s="1"/>
  <c r="F40" i="26" l="1"/>
  <c r="F32" i="31"/>
  <c r="F33" i="31"/>
  <c r="L365" i="15" s="1"/>
  <c r="F33" i="26"/>
  <c r="F45" i="26"/>
  <c r="F46" i="26"/>
  <c r="F31" i="26"/>
  <c r="F38" i="26"/>
  <c r="F39" i="26"/>
  <c r="F29" i="26"/>
  <c r="F41" i="26"/>
  <c r="F36" i="26"/>
  <c r="F47" i="26"/>
  <c r="F42" i="26"/>
  <c r="F37" i="26"/>
  <c r="F44" i="26"/>
  <c r="F35" i="26"/>
  <c r="F34" i="26"/>
  <c r="F43" i="26"/>
  <c r="F32" i="26"/>
  <c r="F30" i="26"/>
  <c r="F34" i="31"/>
  <c r="A1" i="11"/>
  <c r="E98" i="24" l="1"/>
  <c r="A98" i="24"/>
  <c r="AI136" i="18"/>
  <c r="E136" i="18" s="1"/>
  <c r="AI120" i="18"/>
  <c r="AF120" i="18"/>
  <c r="AI116" i="18"/>
  <c r="AF116" i="18"/>
  <c r="AI115" i="18"/>
  <c r="AF115" i="18"/>
  <c r="A115" i="18" s="1"/>
  <c r="T151" i="14" l="1"/>
  <c r="T144" i="14"/>
  <c r="T231" i="14"/>
  <c r="D231" i="14" s="1"/>
  <c r="T230" i="14"/>
  <c r="D230" i="14" s="1"/>
  <c r="T229" i="14"/>
  <c r="D229" i="14" s="1"/>
  <c r="T228" i="14"/>
  <c r="D228" i="14" s="1"/>
  <c r="A243" i="14"/>
  <c r="B243" i="14"/>
  <c r="D87" i="24"/>
  <c r="D84" i="24"/>
  <c r="D86" i="24" l="1"/>
  <c r="AI80" i="18" l="1"/>
  <c r="E80" i="18" s="1"/>
  <c r="AI75" i="18"/>
  <c r="D85" i="24"/>
  <c r="D83" i="24"/>
  <c r="D82" i="24"/>
  <c r="D81" i="24"/>
  <c r="D80" i="24" l="1"/>
  <c r="D79" i="24" l="1"/>
  <c r="AN19" i="26" l="1"/>
  <c r="E19" i="26" s="1"/>
  <c r="AN17" i="26"/>
  <c r="E17" i="26" s="1"/>
  <c r="AN16" i="26"/>
  <c r="E16" i="26" s="1"/>
  <c r="AN15" i="26"/>
  <c r="E15" i="26" s="1"/>
  <c r="AN14" i="26"/>
  <c r="AN13" i="26"/>
  <c r="E13" i="26" s="1"/>
  <c r="AN8" i="26"/>
  <c r="E8" i="26" s="1"/>
  <c r="AN7" i="26"/>
  <c r="E7" i="26" s="1"/>
  <c r="AN5" i="26"/>
  <c r="B5" i="26" s="1"/>
  <c r="D76" i="24"/>
  <c r="AI152" i="18"/>
  <c r="D77" i="24"/>
  <c r="D78" i="24"/>
  <c r="D75" i="24"/>
  <c r="E152" i="18" l="1"/>
  <c r="E153" i="18"/>
  <c r="D62" i="24"/>
  <c r="AE30" i="30"/>
  <c r="E30" i="30" s="1"/>
  <c r="D61" i="24"/>
  <c r="D60" i="24" l="1"/>
  <c r="D59" i="24" l="1"/>
  <c r="D58" i="24"/>
  <c r="D57" i="24"/>
  <c r="D56" i="24"/>
  <c r="I18" i="29"/>
  <c r="I56" i="29" s="1"/>
  <c r="AA149" i="15"/>
  <c r="AC149" i="15" s="1"/>
  <c r="F149" i="15" s="1"/>
  <c r="AB149" i="15"/>
  <c r="O62" i="11"/>
  <c r="N62" i="11"/>
  <c r="T65" i="14"/>
  <c r="D65" i="14" s="1"/>
  <c r="I30" i="29"/>
  <c r="H30" i="29" s="1"/>
  <c r="H92" i="29" s="1"/>
  <c r="I29" i="29"/>
  <c r="H29" i="29" s="1"/>
  <c r="I28" i="29"/>
  <c r="H28" i="29" s="1"/>
  <c r="I27" i="29"/>
  <c r="H27" i="29" s="1"/>
  <c r="I26" i="29"/>
  <c r="I67" i="29" s="1"/>
  <c r="H13" i="29"/>
  <c r="G13" i="29" s="1"/>
  <c r="H12" i="29"/>
  <c r="G12" i="29" s="1"/>
  <c r="H11" i="29"/>
  <c r="G11" i="29" s="1"/>
  <c r="H10" i="29"/>
  <c r="G10" i="29" s="1"/>
  <c r="H9" i="29"/>
  <c r="G9" i="29" s="1"/>
  <c r="G42" i="29" s="1"/>
  <c r="B32" i="30"/>
  <c r="B31" i="30"/>
  <c r="B30" i="30"/>
  <c r="B29" i="30"/>
  <c r="B28" i="30"/>
  <c r="B27" i="30"/>
  <c r="B26" i="30"/>
  <c r="B25" i="30"/>
  <c r="B24" i="30"/>
  <c r="S92" i="18"/>
  <c r="T92" i="18" s="1"/>
  <c r="S101" i="18"/>
  <c r="D55" i="24"/>
  <c r="AI84" i="18"/>
  <c r="AI101" i="18"/>
  <c r="E101" i="18" s="1"/>
  <c r="B84" i="18"/>
  <c r="B103" i="18"/>
  <c r="AF101" i="18"/>
  <c r="AI103" i="18"/>
  <c r="E103" i="18" s="1"/>
  <c r="AF103" i="18"/>
  <c r="A103" i="18" s="1"/>
  <c r="D54" i="24"/>
  <c r="AF84" i="18"/>
  <c r="A84" i="18" s="1"/>
  <c r="AF8" i="18"/>
  <c r="I3" i="18" s="1"/>
  <c r="AF7" i="18"/>
  <c r="I1" i="18" s="1"/>
  <c r="S77" i="18"/>
  <c r="G103" i="18" s="1"/>
  <c r="AI79" i="18"/>
  <c r="S93" i="18"/>
  <c r="T93" i="18" s="1"/>
  <c r="U93" i="18" s="1"/>
  <c r="S94" i="18"/>
  <c r="S96" i="18"/>
  <c r="T96" i="18" s="1"/>
  <c r="U96" i="18" s="1"/>
  <c r="S95" i="18"/>
  <c r="T95" i="18" s="1"/>
  <c r="U95" i="18" s="1"/>
  <c r="B99" i="18"/>
  <c r="S97" i="18"/>
  <c r="T97" i="18" s="1"/>
  <c r="U97" i="18" s="1"/>
  <c r="S98" i="18"/>
  <c r="T98" i="18" s="1"/>
  <c r="U98" i="18" s="1"/>
  <c r="B102" i="18"/>
  <c r="B100" i="18"/>
  <c r="AF100" i="18"/>
  <c r="A100" i="18" s="1"/>
  <c r="AF102" i="18"/>
  <c r="A102" i="18" s="1"/>
  <c r="AI104" i="18"/>
  <c r="E104" i="18" s="1"/>
  <c r="AF104" i="18"/>
  <c r="AI96" i="18"/>
  <c r="AF96" i="18"/>
  <c r="A96" i="18" s="1"/>
  <c r="AI93" i="18"/>
  <c r="E93" i="18" s="1"/>
  <c r="AI95" i="18"/>
  <c r="AF95" i="18"/>
  <c r="A95" i="18" s="1"/>
  <c r="AI94" i="18"/>
  <c r="AF94" i="18"/>
  <c r="A94" i="18" s="1"/>
  <c r="AF93" i="18"/>
  <c r="A93" i="18" s="1"/>
  <c r="AI78" i="18"/>
  <c r="E78" i="18" s="1"/>
  <c r="AI92" i="18"/>
  <c r="E92" i="18" s="1"/>
  <c r="AF92" i="18"/>
  <c r="A92" i="18" s="1"/>
  <c r="D50" i="24"/>
  <c r="K20" i="15"/>
  <c r="K21" i="15"/>
  <c r="K22" i="15"/>
  <c r="K23" i="15"/>
  <c r="K19" i="15"/>
  <c r="AN94" i="29"/>
  <c r="H95" i="29" s="1"/>
  <c r="AN95" i="29"/>
  <c r="J95" i="29" s="1"/>
  <c r="AK95" i="29"/>
  <c r="E95" i="29" s="1"/>
  <c r="AK94" i="29"/>
  <c r="B95" i="29" s="1"/>
  <c r="AB18" i="29"/>
  <c r="AB16" i="29"/>
  <c r="AA16" i="29"/>
  <c r="Z18" i="29"/>
  <c r="Z16" i="29"/>
  <c r="AK71" i="29"/>
  <c r="C71" i="29" s="1"/>
  <c r="AL49" i="29"/>
  <c r="AN49" i="29" s="1"/>
  <c r="B49" i="29" s="1"/>
  <c r="L57" i="29"/>
  <c r="S131" i="18"/>
  <c r="J19" i="29" s="1"/>
  <c r="I19" i="29"/>
  <c r="I57" i="29" s="1"/>
  <c r="G57" i="29"/>
  <c r="F57" i="29"/>
  <c r="L56" i="29"/>
  <c r="S129" i="18"/>
  <c r="J18" i="29" s="1"/>
  <c r="G56" i="29"/>
  <c r="F56" i="29"/>
  <c r="AI19" i="29"/>
  <c r="AK19" i="29" s="1"/>
  <c r="B19" i="29" s="1"/>
  <c r="B57" i="29" s="1"/>
  <c r="AI18" i="29"/>
  <c r="AK18" i="29" s="1"/>
  <c r="B18" i="29" s="1"/>
  <c r="B56" i="29" s="1"/>
  <c r="L54" i="29"/>
  <c r="S126" i="18"/>
  <c r="J16" i="29" s="1"/>
  <c r="I16" i="29"/>
  <c r="G54" i="29"/>
  <c r="F54" i="29"/>
  <c r="I15" i="29"/>
  <c r="I53" i="29" s="1"/>
  <c r="S124" i="18"/>
  <c r="J15" i="29" s="1"/>
  <c r="L53" i="29"/>
  <c r="F53" i="29"/>
  <c r="G53" i="29"/>
  <c r="AI16" i="29"/>
  <c r="AK16" i="29" s="1"/>
  <c r="B16" i="29" s="1"/>
  <c r="B54" i="29" s="1"/>
  <c r="AK41" i="29"/>
  <c r="J2" i="29"/>
  <c r="I2" i="29" s="1"/>
  <c r="I34" i="29" s="1"/>
  <c r="AK42" i="29"/>
  <c r="B132" i="18"/>
  <c r="B127" i="18"/>
  <c r="C132" i="18"/>
  <c r="S128" i="18"/>
  <c r="J17" i="29" s="1"/>
  <c r="K17" i="29" s="1"/>
  <c r="C130" i="18"/>
  <c r="AI130" i="18"/>
  <c r="E130" i="18" s="1"/>
  <c r="B130" i="18"/>
  <c r="AF130" i="18"/>
  <c r="A130" i="18" s="1"/>
  <c r="F137" i="29"/>
  <c r="F55" i="29" s="1"/>
  <c r="L137" i="29"/>
  <c r="L55" i="29" s="1"/>
  <c r="G137" i="29"/>
  <c r="G55" i="29" s="1"/>
  <c r="AI153" i="18"/>
  <c r="H149" i="18" s="1"/>
  <c r="AI149" i="18"/>
  <c r="H148" i="18" s="1"/>
  <c r="AI107" i="18"/>
  <c r="E107" i="18" s="1"/>
  <c r="D41" i="24"/>
  <c r="D40" i="24"/>
  <c r="J36" i="29"/>
  <c r="I36" i="29"/>
  <c r="D39" i="24"/>
  <c r="AN91" i="29"/>
  <c r="AK91" i="29"/>
  <c r="AN87" i="29"/>
  <c r="AK87" i="29"/>
  <c r="AN73" i="29"/>
  <c r="AK73" i="29"/>
  <c r="AK59" i="29"/>
  <c r="AK65" i="29"/>
  <c r="AN65" i="29"/>
  <c r="AN52" i="29"/>
  <c r="AK52" i="29"/>
  <c r="AN41" i="29"/>
  <c r="AN37" i="29"/>
  <c r="AK37" i="29"/>
  <c r="AK36" i="29"/>
  <c r="J35" i="29" s="1"/>
  <c r="L36" i="29"/>
  <c r="K36" i="29"/>
  <c r="H36" i="29"/>
  <c r="G36" i="29"/>
  <c r="F36" i="29"/>
  <c r="B3" i="18"/>
  <c r="B6" i="18" s="1"/>
  <c r="D50" i="15"/>
  <c r="F32" i="29" s="1"/>
  <c r="AN85" i="29"/>
  <c r="E85" i="29" s="1"/>
  <c r="AK85" i="29"/>
  <c r="B85" i="29" s="1"/>
  <c r="C18" i="18"/>
  <c r="B52" i="18"/>
  <c r="C52" i="18" s="1"/>
  <c r="B59" i="18"/>
  <c r="B60" i="18" s="1"/>
  <c r="F60" i="18" s="1"/>
  <c r="C59" i="18"/>
  <c r="C61" i="18" s="1"/>
  <c r="B73" i="18"/>
  <c r="C73" i="18" s="1"/>
  <c r="AF72" i="18"/>
  <c r="B90" i="18"/>
  <c r="S90" i="18" s="1"/>
  <c r="C90" i="18"/>
  <c r="T90" i="18" s="1"/>
  <c r="D90" i="18"/>
  <c r="U90" i="18" s="1"/>
  <c r="B123" i="18"/>
  <c r="C123" i="18"/>
  <c r="B134" i="18"/>
  <c r="S134" i="18" s="1"/>
  <c r="C134" i="18"/>
  <c r="T134" i="18" s="1"/>
  <c r="D134" i="18"/>
  <c r="U134" i="18" s="1"/>
  <c r="B141" i="18"/>
  <c r="S140" i="18" s="1"/>
  <c r="C141" i="18"/>
  <c r="V140" i="18" s="1"/>
  <c r="D141" i="18"/>
  <c r="Y140" i="18" s="1"/>
  <c r="B150" i="18"/>
  <c r="S150" i="18" s="1"/>
  <c r="C150" i="18"/>
  <c r="T150" i="18" s="1"/>
  <c r="D150" i="18"/>
  <c r="U150" i="18" s="1"/>
  <c r="AN25" i="29"/>
  <c r="C3" i="29" s="1"/>
  <c r="AN24" i="29"/>
  <c r="C2" i="29" s="1"/>
  <c r="AN23" i="29"/>
  <c r="A4" i="29" s="1"/>
  <c r="AN22" i="29"/>
  <c r="A3" i="29" s="1"/>
  <c r="AN21" i="29"/>
  <c r="A2" i="29" s="1"/>
  <c r="AK64" i="29"/>
  <c r="B64" i="29" s="1"/>
  <c r="AK81" i="29"/>
  <c r="B81" i="29" s="1"/>
  <c r="AK80" i="29"/>
  <c r="B80" i="29" s="1"/>
  <c r="AK79" i="29"/>
  <c r="B79" i="29" s="1"/>
  <c r="AK78" i="29"/>
  <c r="B78" i="29" s="1"/>
  <c r="AK77" i="29"/>
  <c r="B77" i="29" s="1"/>
  <c r="AK76" i="29"/>
  <c r="AK75" i="29"/>
  <c r="AK74" i="29"/>
  <c r="B74" i="29" s="1"/>
  <c r="AK60" i="29"/>
  <c r="C60" i="29" s="1"/>
  <c r="L42" i="29"/>
  <c r="F42" i="29"/>
  <c r="AK10" i="29"/>
  <c r="B10" i="29" s="1"/>
  <c r="B43" i="29" s="1"/>
  <c r="AK43" i="29"/>
  <c r="AN43" i="29"/>
  <c r="F40" i="29"/>
  <c r="AK90" i="29"/>
  <c r="C90" i="29" s="1"/>
  <c r="AK89" i="29"/>
  <c r="C75" i="29" s="1"/>
  <c r="AK88" i="29"/>
  <c r="AK51" i="29"/>
  <c r="B51" i="29" s="1"/>
  <c r="AK50" i="29"/>
  <c r="B50" i="29" s="1"/>
  <c r="AK40" i="29"/>
  <c r="C40" i="29" s="1"/>
  <c r="AN59" i="29"/>
  <c r="A59" i="29" s="1"/>
  <c r="AN26" i="29"/>
  <c r="A26" i="29" s="1"/>
  <c r="A65" i="29" s="1"/>
  <c r="AN20" i="29"/>
  <c r="A20" i="29" s="1"/>
  <c r="A73" i="29" s="1"/>
  <c r="B14" i="29"/>
  <c r="AN14" i="29"/>
  <c r="A14" i="29" s="1"/>
  <c r="A87" i="29" s="1"/>
  <c r="AN3" i="29"/>
  <c r="K4" i="29" s="1"/>
  <c r="AN4" i="29"/>
  <c r="G4" i="29" s="1"/>
  <c r="AK4" i="29"/>
  <c r="L4" i="29" s="1"/>
  <c r="AK3" i="29"/>
  <c r="H3" i="29" s="1"/>
  <c r="L90" i="29"/>
  <c r="L89" i="29"/>
  <c r="F89" i="29"/>
  <c r="L88" i="29"/>
  <c r="F88" i="29"/>
  <c r="F90" i="29"/>
  <c r="L93" i="29"/>
  <c r="F93" i="29"/>
  <c r="L92" i="29"/>
  <c r="L94" i="29"/>
  <c r="F92" i="29"/>
  <c r="F94" i="29"/>
  <c r="L40" i="29"/>
  <c r="D34" i="24"/>
  <c r="L136" i="29"/>
  <c r="L58" i="29"/>
  <c r="L138" i="29"/>
  <c r="L78" i="29" s="1"/>
  <c r="L71" i="29"/>
  <c r="L70" i="29"/>
  <c r="L72" i="29"/>
  <c r="L69" i="29"/>
  <c r="L68" i="29"/>
  <c r="L67" i="29"/>
  <c r="L139" i="29"/>
  <c r="L66" i="29" s="1"/>
  <c r="I10" i="29"/>
  <c r="I11" i="29"/>
  <c r="J11" i="29" s="1"/>
  <c r="K11" i="29" s="1"/>
  <c r="I12" i="29"/>
  <c r="J12" i="29" s="1"/>
  <c r="K12" i="29" s="1"/>
  <c r="I13" i="29"/>
  <c r="J13" i="29" s="1"/>
  <c r="K13" i="29" s="1"/>
  <c r="H7" i="29"/>
  <c r="H93" i="29" s="1"/>
  <c r="F136" i="29"/>
  <c r="F44" i="29" s="1"/>
  <c r="J7" i="29"/>
  <c r="K7" i="29" s="1"/>
  <c r="K93" i="29" s="1"/>
  <c r="I7" i="29"/>
  <c r="I38" i="29" s="1"/>
  <c r="T153" i="18"/>
  <c r="C159" i="18" s="1"/>
  <c r="L39" i="29"/>
  <c r="J8" i="29"/>
  <c r="K8" i="29" s="1"/>
  <c r="K39" i="29" s="1"/>
  <c r="F39" i="29"/>
  <c r="L38" i="29"/>
  <c r="F38" i="29"/>
  <c r="L34" i="29"/>
  <c r="K34" i="29"/>
  <c r="F34" i="29"/>
  <c r="I17" i="29"/>
  <c r="H17" i="29" s="1"/>
  <c r="F138" i="29"/>
  <c r="F78" i="29" s="1"/>
  <c r="F72" i="29"/>
  <c r="F71" i="29"/>
  <c r="F70" i="29"/>
  <c r="F69" i="29"/>
  <c r="F68" i="29"/>
  <c r="F67" i="29"/>
  <c r="F139" i="29"/>
  <c r="F66" i="29" s="1"/>
  <c r="T138" i="18"/>
  <c r="J29" i="29" s="1"/>
  <c r="K29" i="29" s="1"/>
  <c r="T137" i="18"/>
  <c r="T136" i="18"/>
  <c r="J27" i="29" s="1"/>
  <c r="K27" i="29" s="1"/>
  <c r="T135" i="18"/>
  <c r="J26" i="29" s="1"/>
  <c r="I9" i="29"/>
  <c r="AI15" i="29"/>
  <c r="AK15" i="29" s="1"/>
  <c r="B15" i="29" s="1"/>
  <c r="B53" i="29" s="1"/>
  <c r="AI66" i="29"/>
  <c r="AK66" i="29" s="1"/>
  <c r="B66" i="29" s="1"/>
  <c r="AJ66" i="29"/>
  <c r="AI8" i="29"/>
  <c r="AJ8" i="29"/>
  <c r="AK7" i="29"/>
  <c r="B7" i="29" s="1"/>
  <c r="B38" i="29" s="1"/>
  <c r="AK55" i="29"/>
  <c r="I20" i="29"/>
  <c r="H20" i="29" s="1"/>
  <c r="I21" i="29"/>
  <c r="H21" i="29" s="1"/>
  <c r="I22" i="29"/>
  <c r="H22" i="29" s="1"/>
  <c r="I23" i="29"/>
  <c r="H23" i="29" s="1"/>
  <c r="I24" i="29"/>
  <c r="H24" i="29" s="1"/>
  <c r="I25" i="29"/>
  <c r="H25" i="29" s="1"/>
  <c r="S142" i="18"/>
  <c r="V142" i="18" s="1"/>
  <c r="S143" i="18"/>
  <c r="V143" i="18" s="1"/>
  <c r="S144" i="18"/>
  <c r="V144" i="18" s="1"/>
  <c r="S145" i="18"/>
  <c r="V145" i="18" s="1"/>
  <c r="S146" i="18"/>
  <c r="V146" i="18" s="1"/>
  <c r="S147" i="18"/>
  <c r="V147" i="18" s="1"/>
  <c r="L135" i="29"/>
  <c r="F135" i="29"/>
  <c r="L140" i="29"/>
  <c r="F140" i="29"/>
  <c r="AN30" i="29"/>
  <c r="AK30" i="29"/>
  <c r="A30" i="29" s="1"/>
  <c r="A91" i="29" s="1"/>
  <c r="AN5" i="29"/>
  <c r="H1" i="29" s="1"/>
  <c r="AN66" i="29"/>
  <c r="AL13" i="29"/>
  <c r="AN13" i="29" s="1"/>
  <c r="C13" i="29" s="1"/>
  <c r="AM13" i="29"/>
  <c r="AL12" i="29"/>
  <c r="AM12" i="29"/>
  <c r="AL11" i="29"/>
  <c r="AN11" i="29" s="1"/>
  <c r="AM11" i="29"/>
  <c r="AL10" i="29"/>
  <c r="AM10" i="29"/>
  <c r="AI28" i="29"/>
  <c r="AJ28" i="29"/>
  <c r="AI26" i="29"/>
  <c r="AJ26" i="29"/>
  <c r="D33" i="24"/>
  <c r="B10" i="19"/>
  <c r="D32" i="24"/>
  <c r="D31" i="24"/>
  <c r="D30" i="24"/>
  <c r="AB2" i="30"/>
  <c r="A2" i="30" s="1"/>
  <c r="A33" i="30"/>
  <c r="D29" i="24"/>
  <c r="A1" i="19"/>
  <c r="R4" i="19" s="1"/>
  <c r="C2" i="19" s="1"/>
  <c r="AC364" i="15"/>
  <c r="K364" i="15" s="1"/>
  <c r="S7" i="11"/>
  <c r="S6" i="11"/>
  <c r="AF184" i="18"/>
  <c r="E184" i="18" s="1"/>
  <c r="P13" i="11"/>
  <c r="AB13" i="30"/>
  <c r="AC3" i="30"/>
  <c r="AD3" i="30"/>
  <c r="AC2" i="30"/>
  <c r="AE2" i="30" s="1"/>
  <c r="B1" i="30" s="1"/>
  <c r="AD2" i="30"/>
  <c r="AE33" i="30"/>
  <c r="AE32" i="30"/>
  <c r="AE31" i="30"/>
  <c r="AE29" i="30"/>
  <c r="AE28" i="30"/>
  <c r="AE27" i="30"/>
  <c r="AE26" i="30"/>
  <c r="AE34" i="30"/>
  <c r="AE21" i="30"/>
  <c r="AB37" i="30"/>
  <c r="AB36" i="30"/>
  <c r="AB35" i="30"/>
  <c r="AB34" i="30"/>
  <c r="C13" i="30"/>
  <c r="E14" i="30"/>
  <c r="D342" i="15"/>
  <c r="C342" i="15"/>
  <c r="B249" i="14"/>
  <c r="A249" i="14"/>
  <c r="B241" i="11"/>
  <c r="B338" i="15" s="1"/>
  <c r="A241" i="11"/>
  <c r="A338" i="15" s="1"/>
  <c r="N4" i="11"/>
  <c r="AD2" i="15" s="1"/>
  <c r="O4" i="11"/>
  <c r="AE2" i="15" s="1"/>
  <c r="AM49" i="29"/>
  <c r="AK49" i="29"/>
  <c r="AN47" i="29"/>
  <c r="AK47" i="29"/>
  <c r="AN46" i="29"/>
  <c r="AK46" i="29"/>
  <c r="AN44" i="29"/>
  <c r="AK44" i="29"/>
  <c r="AI27" i="29"/>
  <c r="AK27" i="29" s="1"/>
  <c r="B27" i="29" s="1"/>
  <c r="AJ27" i="29"/>
  <c r="AI29" i="29"/>
  <c r="AK29" i="29" s="1"/>
  <c r="B29" i="29" s="1"/>
  <c r="AJ29" i="29"/>
  <c r="AI82" i="29"/>
  <c r="AJ82" i="29"/>
  <c r="AK32" i="29"/>
  <c r="A32" i="29" s="1"/>
  <c r="AK38" i="29"/>
  <c r="AI21" i="29"/>
  <c r="AK21" i="29" s="1"/>
  <c r="B21" i="29" s="1"/>
  <c r="AJ21" i="29"/>
  <c r="AI22" i="29"/>
  <c r="AJ22" i="29"/>
  <c r="AI23" i="29"/>
  <c r="AK23" i="29" s="1"/>
  <c r="B23" i="29" s="1"/>
  <c r="AJ23" i="29"/>
  <c r="AI24" i="29"/>
  <c r="AK24" i="29" s="1"/>
  <c r="B24" i="29" s="1"/>
  <c r="AJ24" i="29"/>
  <c r="AI25" i="29"/>
  <c r="AJ25" i="29"/>
  <c r="AI20" i="29"/>
  <c r="AK20" i="29" s="1"/>
  <c r="B20" i="29" s="1"/>
  <c r="AJ20" i="29"/>
  <c r="AI58" i="29"/>
  <c r="AK58" i="29" s="1"/>
  <c r="B58" i="29" s="1"/>
  <c r="AJ58" i="29"/>
  <c r="AJ19" i="29"/>
  <c r="AJ18" i="29"/>
  <c r="AJ17" i="29"/>
  <c r="AI17" i="29"/>
  <c r="AK17" i="29" s="1"/>
  <c r="B17" i="29" s="1"/>
  <c r="AJ53" i="29"/>
  <c r="AI53" i="29"/>
  <c r="AJ16" i="29"/>
  <c r="AJ15" i="29"/>
  <c r="AK9" i="29"/>
  <c r="B9" i="29" s="1"/>
  <c r="B42" i="29" s="1"/>
  <c r="AK5" i="29"/>
  <c r="K1" i="29" s="1"/>
  <c r="AN2" i="29"/>
  <c r="I1" i="29" s="1"/>
  <c r="AK6" i="29"/>
  <c r="B6" i="29" s="1"/>
  <c r="A36" i="29" s="1"/>
  <c r="AN6" i="29"/>
  <c r="AN77" i="29"/>
  <c r="AN76" i="29"/>
  <c r="AN75" i="29"/>
  <c r="AN74" i="29"/>
  <c r="AN72" i="29"/>
  <c r="AN71" i="29"/>
  <c r="AN70" i="29"/>
  <c r="AK70" i="29"/>
  <c r="AN69" i="29"/>
  <c r="AK69" i="29"/>
  <c r="AN68" i="29"/>
  <c r="AK68" i="29"/>
  <c r="AN67" i="29"/>
  <c r="AK67" i="29"/>
  <c r="AN38" i="29"/>
  <c r="AN32" i="29"/>
  <c r="AN31" i="29"/>
  <c r="AN29" i="29"/>
  <c r="AN28" i="29"/>
  <c r="AN58" i="29"/>
  <c r="AN19" i="29"/>
  <c r="AN18" i="29"/>
  <c r="AN17" i="29"/>
  <c r="AN53" i="29"/>
  <c r="AN16" i="29"/>
  <c r="AN15" i="29"/>
  <c r="A15" i="29" s="1"/>
  <c r="A52" i="29" s="1"/>
  <c r="AK13" i="29"/>
  <c r="AN9" i="29"/>
  <c r="A9" i="29" s="1"/>
  <c r="A41" i="29" s="1"/>
  <c r="AK11" i="29"/>
  <c r="A7" i="29" s="1"/>
  <c r="A37" i="29" s="1"/>
  <c r="AN7" i="29"/>
  <c r="J1" i="29" s="1"/>
  <c r="AK2" i="29"/>
  <c r="D28" i="24"/>
  <c r="AI82" i="18"/>
  <c r="AF82" i="18"/>
  <c r="A114" i="18" s="1"/>
  <c r="D27" i="24"/>
  <c r="D26" i="24"/>
  <c r="D25" i="24"/>
  <c r="D24" i="24"/>
  <c r="D23" i="24"/>
  <c r="AI60" i="18"/>
  <c r="E60" i="18" s="1"/>
  <c r="AF60" i="18"/>
  <c r="A60" i="18" s="1"/>
  <c r="D22" i="24"/>
  <c r="D21" i="24"/>
  <c r="D20" i="24"/>
  <c r="B36" i="19"/>
  <c r="D19" i="24"/>
  <c r="D18" i="24"/>
  <c r="D17" i="24"/>
  <c r="K24" i="15"/>
  <c r="K25" i="15"/>
  <c r="K26" i="15"/>
  <c r="K27" i="15"/>
  <c r="K28" i="15"/>
  <c r="B77" i="19"/>
  <c r="M57" i="19"/>
  <c r="B78" i="19"/>
  <c r="E78" i="19" s="1"/>
  <c r="P57" i="19"/>
  <c r="Q57" i="19"/>
  <c r="N57" i="19"/>
  <c r="B80" i="19"/>
  <c r="M82" i="19"/>
  <c r="N82" i="19"/>
  <c r="B79" i="19"/>
  <c r="E79" i="19" s="1"/>
  <c r="M19" i="19"/>
  <c r="M77" i="19"/>
  <c r="N77" i="19"/>
  <c r="C257" i="11"/>
  <c r="B67" i="19" s="1"/>
  <c r="C258" i="11"/>
  <c r="B68" i="19" s="1"/>
  <c r="C259" i="11"/>
  <c r="B69" i="19" s="1"/>
  <c r="M5" i="19"/>
  <c r="M81" i="19"/>
  <c r="M79" i="19"/>
  <c r="N81" i="19"/>
  <c r="N79" i="19"/>
  <c r="AF356" i="15"/>
  <c r="L357" i="15" s="1"/>
  <c r="AC356" i="15"/>
  <c r="K357" i="15" s="1"/>
  <c r="AF360" i="15"/>
  <c r="AC360" i="15"/>
  <c r="K10" i="15"/>
  <c r="AC362" i="15"/>
  <c r="K48" i="15"/>
  <c r="AF103" i="15"/>
  <c r="AF48" i="15"/>
  <c r="L48" i="15" s="1"/>
  <c r="AF21" i="15"/>
  <c r="AF23" i="15"/>
  <c r="F11" i="15" s="1"/>
  <c r="AF22" i="15"/>
  <c r="F10" i="15" s="1"/>
  <c r="K14" i="15"/>
  <c r="K366" i="15" s="1"/>
  <c r="AF361" i="15"/>
  <c r="AC358" i="15"/>
  <c r="AC359" i="15"/>
  <c r="AC50" i="15"/>
  <c r="AC49" i="15"/>
  <c r="AC48" i="15"/>
  <c r="D73" i="15"/>
  <c r="AC9" i="15"/>
  <c r="A9" i="15" s="1"/>
  <c r="AF9" i="15"/>
  <c r="F9" i="15" s="1"/>
  <c r="D63" i="15"/>
  <c r="D16" i="24"/>
  <c r="AI30" i="18"/>
  <c r="E30" i="18" s="1"/>
  <c r="AF30" i="18"/>
  <c r="A30" i="18" s="1"/>
  <c r="AF100" i="15"/>
  <c r="AA107" i="15"/>
  <c r="AC107" i="15" s="1"/>
  <c r="F107" i="15" s="1"/>
  <c r="AB107" i="15"/>
  <c r="F314" i="15"/>
  <c r="AF71" i="18"/>
  <c r="X153" i="18"/>
  <c r="G153" i="18" s="1"/>
  <c r="AF187" i="18"/>
  <c r="B187" i="18" s="1"/>
  <c r="AI10" i="18"/>
  <c r="E10" i="18" s="1"/>
  <c r="E28" i="18" s="1"/>
  <c r="X137" i="18"/>
  <c r="G137" i="18" s="1"/>
  <c r="AI138" i="18"/>
  <c r="H137" i="18" s="1"/>
  <c r="AI137" i="18"/>
  <c r="E137" i="18" s="1"/>
  <c r="AI131" i="18"/>
  <c r="E131" i="18" s="1"/>
  <c r="AI112" i="18"/>
  <c r="AI147" i="18"/>
  <c r="E147" i="18" s="1"/>
  <c r="AF110" i="18"/>
  <c r="AF111" i="18"/>
  <c r="AF112" i="18"/>
  <c r="AE3" i="15"/>
  <c r="AD3" i="15"/>
  <c r="U151" i="18"/>
  <c r="U152" i="18"/>
  <c r="U153" i="18"/>
  <c r="D159" i="18" s="1"/>
  <c r="T151" i="18"/>
  <c r="T152" i="18"/>
  <c r="S151" i="18"/>
  <c r="S152" i="18"/>
  <c r="S153" i="18"/>
  <c r="B159" i="18" s="1"/>
  <c r="U154" i="18"/>
  <c r="T154" i="18"/>
  <c r="S154" i="18"/>
  <c r="Y153" i="18"/>
  <c r="T144" i="18"/>
  <c r="T145" i="18"/>
  <c r="T146" i="18"/>
  <c r="U135" i="18"/>
  <c r="U136" i="18"/>
  <c r="U137" i="18"/>
  <c r="U138" i="18"/>
  <c r="S135" i="18"/>
  <c r="S136" i="18"/>
  <c r="S137" i="18"/>
  <c r="S138" i="18"/>
  <c r="X135" i="18"/>
  <c r="G135" i="18" s="1"/>
  <c r="S10" i="18"/>
  <c r="A186" i="18" s="1"/>
  <c r="AC12" i="15"/>
  <c r="A73" i="15" s="1"/>
  <c r="AC11" i="15"/>
  <c r="A72" i="15" s="1"/>
  <c r="N18" i="19"/>
  <c r="M18" i="19"/>
  <c r="K41" i="15"/>
  <c r="K40" i="15"/>
  <c r="K39" i="15"/>
  <c r="K38" i="15"/>
  <c r="K37" i="15"/>
  <c r="K36" i="15"/>
  <c r="K35" i="15"/>
  <c r="D11" i="24"/>
  <c r="F66" i="18"/>
  <c r="F67" i="18"/>
  <c r="F68" i="18"/>
  <c r="F69" i="18"/>
  <c r="F70" i="18"/>
  <c r="F71" i="18"/>
  <c r="F72" i="18"/>
  <c r="D8" i="24"/>
  <c r="AI6" i="18"/>
  <c r="G3" i="18" s="1"/>
  <c r="AI5" i="18"/>
  <c r="F3" i="18" s="1"/>
  <c r="AF5" i="18"/>
  <c r="F1" i="18" s="1"/>
  <c r="F347" i="15"/>
  <c r="B50" i="19" s="1"/>
  <c r="F348" i="15"/>
  <c r="B51" i="19" s="1"/>
  <c r="F353" i="15"/>
  <c r="B53" i="19" s="1"/>
  <c r="F354" i="15"/>
  <c r="B54" i="19" s="1"/>
  <c r="F355" i="15"/>
  <c r="B55" i="19" s="1"/>
  <c r="AB3" i="15"/>
  <c r="AA3" i="15"/>
  <c r="AQ7" i="26"/>
  <c r="AQ13" i="26"/>
  <c r="AQ15" i="26"/>
  <c r="E20" i="26"/>
  <c r="AQ6" i="26"/>
  <c r="AQ4" i="26"/>
  <c r="AQ3" i="26"/>
  <c r="AN4" i="26"/>
  <c r="B4" i="26" s="1"/>
  <c r="AN3" i="26"/>
  <c r="B3" i="26" s="1"/>
  <c r="AC7" i="15"/>
  <c r="I5" i="15" s="1"/>
  <c r="AC6" i="15"/>
  <c r="H5" i="15" s="1"/>
  <c r="B22" i="26"/>
  <c r="B20" i="26"/>
  <c r="B19" i="26"/>
  <c r="B17" i="26"/>
  <c r="AN23" i="26"/>
  <c r="B15" i="26" s="1"/>
  <c r="AN21" i="26"/>
  <c r="B13" i="26" s="1"/>
  <c r="AN20" i="26"/>
  <c r="B7" i="26" s="1"/>
  <c r="AN6" i="26"/>
  <c r="C6" i="26" s="1"/>
  <c r="AF8" i="15"/>
  <c r="AC8" i="15"/>
  <c r="AF347" i="15"/>
  <c r="AF346" i="15"/>
  <c r="AF348" i="15"/>
  <c r="K346" i="15" s="1"/>
  <c r="G350" i="15"/>
  <c r="H112" i="15"/>
  <c r="H154" i="15"/>
  <c r="F324" i="15"/>
  <c r="F323" i="15"/>
  <c r="F322" i="15"/>
  <c r="F321" i="15"/>
  <c r="F320" i="15"/>
  <c r="F319" i="15"/>
  <c r="F318" i="15"/>
  <c r="F317" i="15"/>
  <c r="F316" i="15"/>
  <c r="F315" i="15"/>
  <c r="AF17" i="15"/>
  <c r="H3" i="15" s="1"/>
  <c r="AI127" i="18"/>
  <c r="E122" i="18" s="1"/>
  <c r="AI77" i="18"/>
  <c r="AF99" i="18"/>
  <c r="A99" i="18" s="1"/>
  <c r="S2" i="11"/>
  <c r="B1" i="11" s="1"/>
  <c r="AF52" i="18"/>
  <c r="E52" i="18" s="1"/>
  <c r="D3" i="24"/>
  <c r="D4" i="24"/>
  <c r="D5" i="24"/>
  <c r="D6" i="24"/>
  <c r="D7" i="24"/>
  <c r="D9" i="24"/>
  <c r="D10" i="24"/>
  <c r="D12" i="24"/>
  <c r="D13" i="24"/>
  <c r="D14" i="24"/>
  <c r="D15" i="24"/>
  <c r="D2" i="24"/>
  <c r="AF31" i="15"/>
  <c r="D42" i="15" s="1"/>
  <c r="AC31" i="15"/>
  <c r="C42" i="15" s="1"/>
  <c r="AF183" i="18"/>
  <c r="E183" i="18" s="1"/>
  <c r="F65" i="18"/>
  <c r="AF77" i="18"/>
  <c r="A77" i="18" s="1"/>
  <c r="D187" i="18" s="1"/>
  <c r="C186" i="18"/>
  <c r="AF108" i="18"/>
  <c r="A108" i="18" s="1"/>
  <c r="B186" i="18"/>
  <c r="AF185" i="18"/>
  <c r="A185" i="18" s="1"/>
  <c r="AF27" i="18"/>
  <c r="AI182" i="18"/>
  <c r="E182" i="18" s="1"/>
  <c r="AF182" i="18"/>
  <c r="A182" i="18" s="1"/>
  <c r="AF173" i="18"/>
  <c r="A173" i="18" s="1"/>
  <c r="AF174" i="18"/>
  <c r="A174" i="18" s="1"/>
  <c r="AF175" i="18"/>
  <c r="A175" i="18" s="1"/>
  <c r="AF176" i="18"/>
  <c r="A176" i="18" s="1"/>
  <c r="AF177" i="18"/>
  <c r="A177" i="18" s="1"/>
  <c r="AF178" i="18"/>
  <c r="A178" i="18" s="1"/>
  <c r="AF179" i="18"/>
  <c r="A179" i="18" s="1"/>
  <c r="AF180" i="18"/>
  <c r="A180" i="18" s="1"/>
  <c r="AF181" i="18"/>
  <c r="A181" i="18" s="1"/>
  <c r="AF166" i="18"/>
  <c r="A166" i="18" s="1"/>
  <c r="AF167" i="18"/>
  <c r="A167" i="18" s="1"/>
  <c r="AF168" i="18"/>
  <c r="A168" i="18" s="1"/>
  <c r="AF169" i="18"/>
  <c r="A169" i="18" s="1"/>
  <c r="AF170" i="18"/>
  <c r="A170" i="18" s="1"/>
  <c r="AF171" i="18"/>
  <c r="A171" i="18" s="1"/>
  <c r="AF172" i="18"/>
  <c r="A172" i="18" s="1"/>
  <c r="AI171" i="18"/>
  <c r="AI181" i="18"/>
  <c r="AI180" i="18"/>
  <c r="AI179" i="18"/>
  <c r="AI178" i="18"/>
  <c r="AI177" i="18"/>
  <c r="AI176" i="18"/>
  <c r="AI175" i="18"/>
  <c r="AI174" i="18"/>
  <c r="AI173" i="18"/>
  <c r="AI172" i="18"/>
  <c r="AI170" i="18"/>
  <c r="AI169" i="18"/>
  <c r="AI167" i="18"/>
  <c r="AI168" i="18"/>
  <c r="AI163" i="18"/>
  <c r="D162" i="18" s="1"/>
  <c r="AI162" i="18"/>
  <c r="B162" i="18" s="1"/>
  <c r="AI166" i="18"/>
  <c r="AI165" i="18"/>
  <c r="E165" i="18" s="1"/>
  <c r="AI164" i="18"/>
  <c r="AF162" i="18"/>
  <c r="A162" i="18" s="1"/>
  <c r="AF163" i="18"/>
  <c r="A163" i="18" s="1"/>
  <c r="AF165" i="18"/>
  <c r="A165" i="18" s="1"/>
  <c r="AF164" i="18"/>
  <c r="A164" i="18" s="1"/>
  <c r="AF155" i="18"/>
  <c r="AF156" i="18"/>
  <c r="AF157" i="18"/>
  <c r="A157" i="18" s="1"/>
  <c r="AF158" i="18"/>
  <c r="A158" i="18" s="1"/>
  <c r="AF159" i="18"/>
  <c r="A159" i="18" s="1"/>
  <c r="AF160" i="18"/>
  <c r="A160" i="18" s="1"/>
  <c r="AF161" i="18"/>
  <c r="AI151" i="18"/>
  <c r="E151" i="18" s="1"/>
  <c r="AI157" i="18"/>
  <c r="E157" i="18" s="1"/>
  <c r="AI154" i="18"/>
  <c r="AI155" i="18"/>
  <c r="AI156" i="18"/>
  <c r="AI161" i="18"/>
  <c r="AI183" i="18"/>
  <c r="AF3" i="18"/>
  <c r="A3" i="18" s="1"/>
  <c r="A6" i="18" s="1"/>
  <c r="K15" i="15"/>
  <c r="K16" i="15"/>
  <c r="AF2" i="18"/>
  <c r="E4" i="18" s="1"/>
  <c r="AF4" i="18"/>
  <c r="H1" i="18" s="1"/>
  <c r="AI139" i="18"/>
  <c r="E138" i="18" s="1"/>
  <c r="AF139" i="18"/>
  <c r="A139" i="18" s="1"/>
  <c r="F153" i="18"/>
  <c r="F135" i="18"/>
  <c r="F137" i="18"/>
  <c r="AI148" i="18"/>
  <c r="E148" i="18" s="1"/>
  <c r="AI150" i="18"/>
  <c r="AF148" i="18"/>
  <c r="A148" i="18" s="1"/>
  <c r="AF127" i="18"/>
  <c r="A127" i="18" s="1"/>
  <c r="AI59" i="18"/>
  <c r="AI62" i="18"/>
  <c r="AF62" i="18"/>
  <c r="AI61" i="18"/>
  <c r="E61" i="18" s="1"/>
  <c r="AF61" i="18"/>
  <c r="A61" i="18" s="1"/>
  <c r="AI63" i="18"/>
  <c r="B64" i="18" s="1"/>
  <c r="AI57" i="18"/>
  <c r="AI58" i="18"/>
  <c r="AI56" i="18"/>
  <c r="AI55" i="18"/>
  <c r="E55" i="18" s="1"/>
  <c r="AI54" i="18"/>
  <c r="AI51" i="18"/>
  <c r="AF53" i="18"/>
  <c r="A53" i="18" s="1"/>
  <c r="AF51" i="18"/>
  <c r="A51" i="18" s="1"/>
  <c r="AF107" i="18"/>
  <c r="A107" i="18" s="1"/>
  <c r="AF76" i="18"/>
  <c r="A76" i="18" s="1"/>
  <c r="AF54" i="18"/>
  <c r="A54" i="18" s="1"/>
  <c r="AF74" i="18"/>
  <c r="A74" i="18" s="1"/>
  <c r="AI64" i="18"/>
  <c r="C64" i="18" s="1"/>
  <c r="AF50" i="18"/>
  <c r="F64" i="18" s="1"/>
  <c r="AI74" i="18"/>
  <c r="E74" i="18" s="1"/>
  <c r="AI73" i="18"/>
  <c r="E73" i="18" s="1"/>
  <c r="AI66" i="18"/>
  <c r="E66" i="18" s="1"/>
  <c r="AI65" i="18"/>
  <c r="E65" i="18" s="1"/>
  <c r="AI67" i="18"/>
  <c r="AI68" i="18"/>
  <c r="AI69" i="18"/>
  <c r="AI70" i="18"/>
  <c r="AI71" i="18"/>
  <c r="AI72" i="18"/>
  <c r="AI50" i="18"/>
  <c r="D64" i="18" s="1"/>
  <c r="AF73" i="18"/>
  <c r="A73" i="18" s="1"/>
  <c r="AF70" i="18"/>
  <c r="A70" i="18" s="1"/>
  <c r="AF66" i="18"/>
  <c r="A66" i="18" s="1"/>
  <c r="AF67" i="18"/>
  <c r="A67" i="18" s="1"/>
  <c r="AF68" i="18"/>
  <c r="A68" i="18" s="1"/>
  <c r="AF69" i="18"/>
  <c r="A69" i="18" s="1"/>
  <c r="AF65" i="18"/>
  <c r="A65" i="18" s="1"/>
  <c r="AF64" i="18"/>
  <c r="A64" i="18" s="1"/>
  <c r="AI12" i="18"/>
  <c r="AI11" i="18"/>
  <c r="AF63" i="18"/>
  <c r="A63" i="18" s="1"/>
  <c r="AI49" i="18"/>
  <c r="E49" i="18" s="1"/>
  <c r="AF49" i="18"/>
  <c r="A49" i="18" s="1"/>
  <c r="AI47" i="18"/>
  <c r="E47" i="18" s="1"/>
  <c r="AF47" i="18"/>
  <c r="A47" i="18" s="1"/>
  <c r="AI46" i="18"/>
  <c r="E46" i="18" s="1"/>
  <c r="AF46" i="18"/>
  <c r="A46" i="18" s="1"/>
  <c r="AI45" i="18"/>
  <c r="E45" i="18" s="1"/>
  <c r="AF45" i="18"/>
  <c r="A45" i="18" s="1"/>
  <c r="AI48" i="18"/>
  <c r="E48" i="18" s="1"/>
  <c r="AF48" i="18"/>
  <c r="A48" i="18" s="1"/>
  <c r="AI42" i="18"/>
  <c r="E42" i="18" s="1"/>
  <c r="AF42" i="18"/>
  <c r="A42" i="18" s="1"/>
  <c r="AI43" i="18"/>
  <c r="E43" i="18" s="1"/>
  <c r="AF43" i="18"/>
  <c r="A43" i="18" s="1"/>
  <c r="AI44" i="18"/>
  <c r="E44" i="18" s="1"/>
  <c r="AI41" i="18"/>
  <c r="AI40" i="18"/>
  <c r="AF44" i="18"/>
  <c r="A44" i="18" s="1"/>
  <c r="AF41" i="18"/>
  <c r="A41" i="18" s="1"/>
  <c r="AI106" i="18"/>
  <c r="AF106" i="18"/>
  <c r="A106" i="18" s="1"/>
  <c r="AI105" i="18"/>
  <c r="E105" i="18" s="1"/>
  <c r="AF105" i="18"/>
  <c r="A105" i="18" s="1"/>
  <c r="AF87" i="18"/>
  <c r="AF88" i="18"/>
  <c r="A88" i="18" s="1"/>
  <c r="AI88" i="18"/>
  <c r="AI123" i="18"/>
  <c r="C88" i="18" s="1"/>
  <c r="AI122" i="18"/>
  <c r="B88" i="18" s="1"/>
  <c r="AI90" i="18"/>
  <c r="AF90" i="18"/>
  <c r="AI89" i="18"/>
  <c r="AI133" i="18"/>
  <c r="D140" i="18" s="1"/>
  <c r="AF133" i="18"/>
  <c r="B149" i="18" s="1"/>
  <c r="AI97" i="18"/>
  <c r="E98" i="18" s="1"/>
  <c r="AI98" i="18"/>
  <c r="AF98" i="18"/>
  <c r="A98" i="18" s="1"/>
  <c r="AF97" i="18"/>
  <c r="A97" i="18" s="1"/>
  <c r="AI91" i="18"/>
  <c r="E91" i="18" s="1"/>
  <c r="AI110" i="18"/>
  <c r="AI109" i="18"/>
  <c r="AI108" i="18"/>
  <c r="AF91" i="18"/>
  <c r="A91" i="18" s="1"/>
  <c r="AI86" i="18"/>
  <c r="AF86" i="18"/>
  <c r="AF80" i="18"/>
  <c r="A86" i="18" s="1"/>
  <c r="AF78" i="18"/>
  <c r="A78" i="18" s="1"/>
  <c r="AI85" i="18"/>
  <c r="AF85" i="18"/>
  <c r="AF79" i="18"/>
  <c r="A116" i="18" s="1"/>
  <c r="AI83" i="18"/>
  <c r="AF83" i="18"/>
  <c r="A83" i="18" s="1"/>
  <c r="AF121" i="18"/>
  <c r="AI111" i="18"/>
  <c r="AI81" i="18"/>
  <c r="AI113" i="18"/>
  <c r="AF113" i="18"/>
  <c r="AF81" i="18"/>
  <c r="AF109" i="18"/>
  <c r="AI17" i="18"/>
  <c r="E18" i="18" s="1"/>
  <c r="AF154" i="18"/>
  <c r="A154" i="18" s="1"/>
  <c r="AF153" i="18"/>
  <c r="A153" i="18" s="1"/>
  <c r="AF152" i="18"/>
  <c r="A152" i="18" s="1"/>
  <c r="AF151" i="18"/>
  <c r="A151" i="18" s="1"/>
  <c r="AF150" i="18"/>
  <c r="AF149" i="18"/>
  <c r="A149" i="18" s="1"/>
  <c r="AF147" i="18"/>
  <c r="A147" i="18" s="1"/>
  <c r="AI146" i="18"/>
  <c r="E146" i="18" s="1"/>
  <c r="AF146" i="18"/>
  <c r="A146" i="18" s="1"/>
  <c r="AI145" i="18"/>
  <c r="E145" i="18" s="1"/>
  <c r="AF145" i="18"/>
  <c r="A145" i="18" s="1"/>
  <c r="AI144" i="18"/>
  <c r="E144" i="18" s="1"/>
  <c r="AI143" i="18"/>
  <c r="E143" i="18" s="1"/>
  <c r="AI142" i="18"/>
  <c r="H142" i="18" s="1"/>
  <c r="AI141" i="18"/>
  <c r="E142" i="18" s="1"/>
  <c r="AI140" i="18"/>
  <c r="AF143" i="18"/>
  <c r="A143" i="18" s="1"/>
  <c r="AF144" i="18"/>
  <c r="A144" i="18" s="1"/>
  <c r="AF142" i="18"/>
  <c r="A142" i="18" s="1"/>
  <c r="AF141" i="18"/>
  <c r="AF140" i="18"/>
  <c r="A140" i="18" s="1"/>
  <c r="AI135" i="18"/>
  <c r="E135" i="18" s="1"/>
  <c r="AI134" i="18"/>
  <c r="AF138" i="18"/>
  <c r="A138" i="18" s="1"/>
  <c r="AF137" i="18"/>
  <c r="A137" i="18" s="1"/>
  <c r="AF136" i="18"/>
  <c r="A136" i="18" s="1"/>
  <c r="AF135" i="18"/>
  <c r="A135" i="18" s="1"/>
  <c r="AF134" i="18"/>
  <c r="A133" i="18" s="1"/>
  <c r="AI24" i="18"/>
  <c r="E24" i="18" s="1"/>
  <c r="AF123" i="18"/>
  <c r="A123" i="18" s="1"/>
  <c r="AI39" i="18"/>
  <c r="E39" i="18" s="1"/>
  <c r="AI27" i="18"/>
  <c r="C28" i="18"/>
  <c r="AI18" i="18"/>
  <c r="AI13" i="18"/>
  <c r="E15" i="18" s="1"/>
  <c r="AI16" i="18"/>
  <c r="E16" i="18" s="1"/>
  <c r="AF16" i="18"/>
  <c r="A16" i="18" s="1"/>
  <c r="AI14" i="18"/>
  <c r="E14" i="18" s="1"/>
  <c r="AI15" i="18"/>
  <c r="AF14" i="18"/>
  <c r="A14" i="18" s="1"/>
  <c r="AI124" i="18"/>
  <c r="E124" i="18" s="1"/>
  <c r="AF357" i="15"/>
  <c r="K361" i="15" s="1"/>
  <c r="R15" i="11"/>
  <c r="Q15" i="11"/>
  <c r="AF359" i="15"/>
  <c r="AF358" i="15"/>
  <c r="K362" i="15" s="1"/>
  <c r="AC18" i="15"/>
  <c r="N5" i="19"/>
  <c r="AF340" i="15"/>
  <c r="AF338" i="15"/>
  <c r="G349" i="15" s="1"/>
  <c r="AF345" i="15"/>
  <c r="AF355" i="15"/>
  <c r="AC351" i="15"/>
  <c r="F350" i="15" s="1"/>
  <c r="AA53" i="15"/>
  <c r="AB53" i="15"/>
  <c r="AA54" i="15"/>
  <c r="AB54" i="15"/>
  <c r="K44" i="15"/>
  <c r="K45" i="15"/>
  <c r="I43" i="15"/>
  <c r="K43" i="15"/>
  <c r="I33" i="15"/>
  <c r="K33" i="15"/>
  <c r="I34" i="15"/>
  <c r="K34" i="15"/>
  <c r="I35" i="15"/>
  <c r="K12" i="15"/>
  <c r="AF352" i="15"/>
  <c r="K352" i="15" s="1"/>
  <c r="AF351" i="15"/>
  <c r="K351" i="15" s="1"/>
  <c r="AF350" i="15"/>
  <c r="K350" i="15" s="1"/>
  <c r="AF349" i="15"/>
  <c r="K349" i="15" s="1"/>
  <c r="AA310" i="15"/>
  <c r="AB310" i="15"/>
  <c r="AA309" i="15"/>
  <c r="AB309" i="15"/>
  <c r="AA308" i="15"/>
  <c r="AB308" i="15"/>
  <c r="AA307" i="15"/>
  <c r="AB307" i="15"/>
  <c r="AA306" i="15"/>
  <c r="AC306" i="15" s="1"/>
  <c r="F306" i="15" s="1"/>
  <c r="K306" i="15" s="1"/>
  <c r="AB306" i="15"/>
  <c r="AA305" i="15"/>
  <c r="AB305" i="15"/>
  <c r="AA304" i="15"/>
  <c r="AC304" i="15" s="1"/>
  <c r="F304" i="15" s="1"/>
  <c r="K304" i="15" s="1"/>
  <c r="AB304" i="15"/>
  <c r="AA303" i="15"/>
  <c r="AB303" i="15"/>
  <c r="AA302" i="15"/>
  <c r="AB302" i="15"/>
  <c r="AA301" i="15"/>
  <c r="AB301" i="15"/>
  <c r="AA300" i="15"/>
  <c r="AB300" i="15"/>
  <c r="AA299" i="15"/>
  <c r="AB299" i="15"/>
  <c r="AA298" i="15"/>
  <c r="AC298" i="15" s="1"/>
  <c r="F298" i="15" s="1"/>
  <c r="K298" i="15" s="1"/>
  <c r="AB298" i="15"/>
  <c r="AA297" i="15"/>
  <c r="AB297" i="15"/>
  <c r="AA296" i="15"/>
  <c r="AB296" i="15"/>
  <c r="AA295" i="15"/>
  <c r="AB295" i="15"/>
  <c r="AA294" i="15"/>
  <c r="AB294" i="15"/>
  <c r="AA293" i="15"/>
  <c r="AB293" i="15"/>
  <c r="AA292" i="15"/>
  <c r="AC292" i="15" s="1"/>
  <c r="F292" i="15" s="1"/>
  <c r="K292" i="15" s="1"/>
  <c r="AB292" i="15"/>
  <c r="AA291" i="15"/>
  <c r="AB291" i="15"/>
  <c r="AA290" i="15"/>
  <c r="AB290" i="15"/>
  <c r="AA289" i="15"/>
  <c r="AB289" i="15"/>
  <c r="AA288" i="15"/>
  <c r="AC288" i="15" s="1"/>
  <c r="F288" i="15" s="1"/>
  <c r="K288" i="15" s="1"/>
  <c r="AB288" i="15"/>
  <c r="AA287" i="15"/>
  <c r="AB287" i="15"/>
  <c r="AA286" i="15"/>
  <c r="AC286" i="15" s="1"/>
  <c r="F286" i="15" s="1"/>
  <c r="K286" i="15" s="1"/>
  <c r="AB286" i="15"/>
  <c r="AA285" i="15"/>
  <c r="AB285" i="15"/>
  <c r="AA284" i="15"/>
  <c r="AB284" i="15"/>
  <c r="AA283" i="15"/>
  <c r="AB283" i="15"/>
  <c r="AA282" i="15"/>
  <c r="AB282" i="15"/>
  <c r="AA281" i="15"/>
  <c r="AB281" i="15"/>
  <c r="AA280" i="15"/>
  <c r="AC280" i="15" s="1"/>
  <c r="F280" i="15" s="1"/>
  <c r="K280" i="15" s="1"/>
  <c r="AB280" i="15"/>
  <c r="AA279" i="15"/>
  <c r="AB279" i="15"/>
  <c r="AA278" i="15"/>
  <c r="AB278" i="15"/>
  <c r="AA277" i="15"/>
  <c r="AB277" i="15"/>
  <c r="AA276" i="15"/>
  <c r="AB276" i="15"/>
  <c r="AA275" i="15"/>
  <c r="AC275" i="15" s="1"/>
  <c r="F275" i="15" s="1"/>
  <c r="K275" i="15" s="1"/>
  <c r="AB275" i="15"/>
  <c r="AA274" i="15"/>
  <c r="AB274" i="15"/>
  <c r="AA273" i="15"/>
  <c r="AB273" i="15"/>
  <c r="AA272" i="15"/>
  <c r="AB272" i="15"/>
  <c r="AA271" i="15"/>
  <c r="AB271" i="15"/>
  <c r="AA270" i="15"/>
  <c r="AB270" i="15"/>
  <c r="AA269" i="15"/>
  <c r="AB269" i="15"/>
  <c r="AA268" i="15"/>
  <c r="AC268" i="15" s="1"/>
  <c r="F268" i="15" s="1"/>
  <c r="K268" i="15" s="1"/>
  <c r="AB268" i="15"/>
  <c r="AA267" i="15"/>
  <c r="AB267" i="15"/>
  <c r="AA266" i="15"/>
  <c r="AB266" i="15"/>
  <c r="AA265" i="15"/>
  <c r="AB265" i="15"/>
  <c r="AA264" i="15"/>
  <c r="AB264" i="15"/>
  <c r="AA263" i="15"/>
  <c r="AB263" i="15"/>
  <c r="AA262" i="15"/>
  <c r="AC262" i="15" s="1"/>
  <c r="F262" i="15" s="1"/>
  <c r="K262" i="15" s="1"/>
  <c r="AB262" i="15"/>
  <c r="AA261" i="15"/>
  <c r="AB261" i="15"/>
  <c r="AA260" i="15"/>
  <c r="AC260" i="15" s="1"/>
  <c r="F260" i="15" s="1"/>
  <c r="K260" i="15" s="1"/>
  <c r="AB260" i="15"/>
  <c r="AA259" i="15"/>
  <c r="AB259" i="15"/>
  <c r="AA258" i="15"/>
  <c r="AB258" i="15"/>
  <c r="AA257" i="15"/>
  <c r="AB257" i="15"/>
  <c r="AA256" i="15"/>
  <c r="AB256" i="15"/>
  <c r="AA255" i="15"/>
  <c r="AB255" i="15"/>
  <c r="AA254" i="15"/>
  <c r="AB254" i="15"/>
  <c r="AA253" i="15"/>
  <c r="AB253" i="15"/>
  <c r="AA252" i="15"/>
  <c r="AB252" i="15"/>
  <c r="AA251" i="15"/>
  <c r="AB251" i="15"/>
  <c r="AA250" i="15"/>
  <c r="AC250" i="15" s="1"/>
  <c r="F250" i="15" s="1"/>
  <c r="K250" i="15" s="1"/>
  <c r="AB250" i="15"/>
  <c r="AA249" i="15"/>
  <c r="AB249" i="15"/>
  <c r="AA248" i="15"/>
  <c r="AB248" i="15"/>
  <c r="AA247" i="15"/>
  <c r="AB247" i="15"/>
  <c r="AA246" i="15"/>
  <c r="AB246" i="15"/>
  <c r="AA245" i="15"/>
  <c r="AB245" i="15"/>
  <c r="AA244" i="15"/>
  <c r="AC244" i="15" s="1"/>
  <c r="F244" i="15" s="1"/>
  <c r="K244" i="15" s="1"/>
  <c r="AB244" i="15"/>
  <c r="AA243" i="15"/>
  <c r="AB243" i="15"/>
  <c r="AA242" i="15"/>
  <c r="AB242" i="15"/>
  <c r="AA241" i="15"/>
  <c r="AB241" i="15"/>
  <c r="AA240" i="15"/>
  <c r="AC240" i="15" s="1"/>
  <c r="F240" i="15" s="1"/>
  <c r="K240" i="15" s="1"/>
  <c r="AB240" i="15"/>
  <c r="AA239" i="15"/>
  <c r="AC239" i="15" s="1"/>
  <c r="F239" i="15" s="1"/>
  <c r="K239" i="15" s="1"/>
  <c r="AB239" i="15"/>
  <c r="AA238" i="15"/>
  <c r="AB238" i="15"/>
  <c r="AA237" i="15"/>
  <c r="AB237" i="15"/>
  <c r="AA236" i="15"/>
  <c r="AB236" i="15"/>
  <c r="AA235" i="15"/>
  <c r="AC235" i="15" s="1"/>
  <c r="F235" i="15" s="1"/>
  <c r="K235" i="15" s="1"/>
  <c r="AB235" i="15"/>
  <c r="AA234" i="15"/>
  <c r="AB234" i="15"/>
  <c r="AA233" i="15"/>
  <c r="AB233" i="15"/>
  <c r="AA232" i="15"/>
  <c r="AB232" i="15"/>
  <c r="AA231" i="15"/>
  <c r="AB231" i="15"/>
  <c r="AA230" i="15"/>
  <c r="AB230" i="15"/>
  <c r="AA229" i="15"/>
  <c r="AB229" i="15"/>
  <c r="AA228" i="15"/>
  <c r="AB228" i="15"/>
  <c r="AA227" i="15"/>
  <c r="AB227" i="15"/>
  <c r="AA226" i="15"/>
  <c r="AB226" i="15"/>
  <c r="AA225" i="15"/>
  <c r="AB225" i="15"/>
  <c r="AA224" i="15"/>
  <c r="AB224" i="15"/>
  <c r="AA223" i="15"/>
  <c r="AB223" i="15"/>
  <c r="AA222" i="15"/>
  <c r="AB222" i="15"/>
  <c r="AA221" i="15"/>
  <c r="AB221" i="15"/>
  <c r="AA220" i="15"/>
  <c r="AB220" i="15"/>
  <c r="AA219" i="15"/>
  <c r="AB219" i="15"/>
  <c r="AA218" i="15"/>
  <c r="AB218" i="15"/>
  <c r="AA217" i="15"/>
  <c r="AC217" i="15" s="1"/>
  <c r="F217" i="15" s="1"/>
  <c r="K217" i="15" s="1"/>
  <c r="AB217" i="15"/>
  <c r="AA216" i="15"/>
  <c r="AB216" i="15"/>
  <c r="AA215" i="15"/>
  <c r="AB215" i="15"/>
  <c r="AA214" i="15"/>
  <c r="AC214" i="15" s="1"/>
  <c r="F214" i="15" s="1"/>
  <c r="K214" i="15" s="1"/>
  <c r="AB214" i="15"/>
  <c r="AA213" i="15"/>
  <c r="AB213" i="15"/>
  <c r="AA212" i="15"/>
  <c r="AB212" i="15"/>
  <c r="AA211" i="15"/>
  <c r="AB211" i="15"/>
  <c r="AA210" i="15"/>
  <c r="AC210" i="15" s="1"/>
  <c r="F210" i="15" s="1"/>
  <c r="K210" i="15" s="1"/>
  <c r="AB210" i="15"/>
  <c r="AA209" i="15"/>
  <c r="AB209" i="15"/>
  <c r="AA208" i="15"/>
  <c r="AC208" i="15" s="1"/>
  <c r="F208" i="15" s="1"/>
  <c r="K208" i="15" s="1"/>
  <c r="AB208" i="15"/>
  <c r="AA207" i="15"/>
  <c r="AB207" i="15"/>
  <c r="AA206" i="15"/>
  <c r="AB206" i="15"/>
  <c r="AA205" i="15"/>
  <c r="AB205" i="15"/>
  <c r="AA204" i="15"/>
  <c r="AB204" i="15"/>
  <c r="AA203" i="15"/>
  <c r="AB203" i="15"/>
  <c r="AA202" i="15"/>
  <c r="AC202" i="15" s="1"/>
  <c r="F202" i="15" s="1"/>
  <c r="K202" i="15" s="1"/>
  <c r="AB202" i="15"/>
  <c r="AA201" i="15"/>
  <c r="AB201" i="15"/>
  <c r="AA200" i="15"/>
  <c r="AB200" i="15"/>
  <c r="AA199" i="15"/>
  <c r="AB199" i="15"/>
  <c r="AA198" i="15"/>
  <c r="AB198" i="15"/>
  <c r="AA197" i="15"/>
  <c r="AC197" i="15" s="1"/>
  <c r="F197" i="15" s="1"/>
  <c r="K197" i="15" s="1"/>
  <c r="AB197" i="15"/>
  <c r="AA196" i="15"/>
  <c r="AC196" i="15" s="1"/>
  <c r="F196" i="15" s="1"/>
  <c r="K196" i="15" s="1"/>
  <c r="AB196" i="15"/>
  <c r="AA195" i="15"/>
  <c r="AB195" i="15"/>
  <c r="AA194" i="15"/>
  <c r="AB194" i="15"/>
  <c r="AA193" i="15"/>
  <c r="AB193" i="15"/>
  <c r="AA192" i="15"/>
  <c r="AB192" i="15"/>
  <c r="AA191" i="15"/>
  <c r="AB191" i="15"/>
  <c r="AA190" i="15"/>
  <c r="AC190" i="15" s="1"/>
  <c r="F190" i="15" s="1"/>
  <c r="K190" i="15" s="1"/>
  <c r="AB190" i="15"/>
  <c r="AA189" i="15"/>
  <c r="AB189" i="15"/>
  <c r="AA188" i="15"/>
  <c r="AB188" i="15"/>
  <c r="AA187" i="15"/>
  <c r="AB187" i="15"/>
  <c r="AA186" i="15"/>
  <c r="AB186" i="15"/>
  <c r="AA185" i="15"/>
  <c r="AB185" i="15"/>
  <c r="AA184" i="15"/>
  <c r="AC184" i="15" s="1"/>
  <c r="F184" i="15" s="1"/>
  <c r="K184" i="15" s="1"/>
  <c r="AB184" i="15"/>
  <c r="AA183" i="15"/>
  <c r="AC183" i="15" s="1"/>
  <c r="F183" i="15" s="1"/>
  <c r="K183" i="15" s="1"/>
  <c r="AB183" i="15"/>
  <c r="AA182" i="15"/>
  <c r="AB182" i="15"/>
  <c r="AA181" i="15"/>
  <c r="AC181" i="15" s="1"/>
  <c r="F181" i="15" s="1"/>
  <c r="K181" i="15" s="1"/>
  <c r="AB181" i="15"/>
  <c r="AA180" i="15"/>
  <c r="AB180" i="15"/>
  <c r="AA179" i="15"/>
  <c r="AB179" i="15"/>
  <c r="AA178" i="15"/>
  <c r="AB178" i="15"/>
  <c r="AA177" i="15"/>
  <c r="AB177" i="15"/>
  <c r="AA176" i="15"/>
  <c r="AB176" i="15"/>
  <c r="AA175" i="15"/>
  <c r="AB175" i="15"/>
  <c r="AA174" i="15"/>
  <c r="AB174" i="15"/>
  <c r="AA173" i="15"/>
  <c r="AB173" i="15"/>
  <c r="AA172" i="15"/>
  <c r="AC172" i="15" s="1"/>
  <c r="F172" i="15" s="1"/>
  <c r="K172" i="15" s="1"/>
  <c r="AB172" i="15"/>
  <c r="AA171" i="15"/>
  <c r="AB171" i="15"/>
  <c r="AA170" i="15"/>
  <c r="AB170" i="15"/>
  <c r="AA169" i="15"/>
  <c r="AB169" i="15"/>
  <c r="AA168" i="15"/>
  <c r="AB168" i="15"/>
  <c r="AA167" i="15"/>
  <c r="AB167" i="15"/>
  <c r="AA166" i="15"/>
  <c r="AB166" i="15"/>
  <c r="AA165" i="15"/>
  <c r="AB165" i="15"/>
  <c r="AA164" i="15"/>
  <c r="AB164" i="15"/>
  <c r="AA163" i="15"/>
  <c r="AB163" i="15"/>
  <c r="AA162" i="15"/>
  <c r="AB162" i="15"/>
  <c r="AA161" i="15"/>
  <c r="AB161" i="15"/>
  <c r="AA160" i="15"/>
  <c r="AC160" i="15" s="1"/>
  <c r="F160" i="15" s="1"/>
  <c r="K160" i="15" s="1"/>
  <c r="AB160" i="15"/>
  <c r="AA159" i="15"/>
  <c r="AB159" i="15"/>
  <c r="AA158" i="15"/>
  <c r="AB158" i="15"/>
  <c r="AA157" i="15"/>
  <c r="AC157" i="15" s="1"/>
  <c r="F157" i="15" s="1"/>
  <c r="K157" i="15" s="1"/>
  <c r="AB157" i="15"/>
  <c r="AA156" i="15"/>
  <c r="AB156" i="15"/>
  <c r="AA155" i="15"/>
  <c r="AB155" i="15"/>
  <c r="AA154" i="15"/>
  <c r="AB154" i="15"/>
  <c r="AA153" i="15"/>
  <c r="AB153" i="15"/>
  <c r="AA152" i="15"/>
  <c r="AB152" i="15"/>
  <c r="AA151" i="15"/>
  <c r="AB151" i="15"/>
  <c r="AA150" i="15"/>
  <c r="AB150" i="15"/>
  <c r="AA148" i="15"/>
  <c r="AB148" i="15"/>
  <c r="AA147" i="15"/>
  <c r="AB147" i="15"/>
  <c r="AA146" i="15"/>
  <c r="AB146" i="15"/>
  <c r="AA145" i="15"/>
  <c r="AB145" i="15"/>
  <c r="AA144" i="15"/>
  <c r="AC144" i="15" s="1"/>
  <c r="F144" i="15" s="1"/>
  <c r="K144" i="15" s="1"/>
  <c r="AB144" i="15"/>
  <c r="AA143" i="15"/>
  <c r="AB143" i="15"/>
  <c r="AA142" i="15"/>
  <c r="AB142" i="15"/>
  <c r="AA141" i="15"/>
  <c r="AC141" i="15" s="1"/>
  <c r="F141" i="15" s="1"/>
  <c r="K141" i="15" s="1"/>
  <c r="AB141" i="15"/>
  <c r="AA140" i="15"/>
  <c r="AB140" i="15"/>
  <c r="AA139" i="15"/>
  <c r="AC139" i="15" s="1"/>
  <c r="F139" i="15" s="1"/>
  <c r="K139" i="15" s="1"/>
  <c r="AB139" i="15"/>
  <c r="AA138" i="15"/>
  <c r="AB138" i="15"/>
  <c r="AA137" i="15"/>
  <c r="AB137" i="15"/>
  <c r="AA136" i="15"/>
  <c r="AB136" i="15"/>
  <c r="AA135" i="15"/>
  <c r="AC135" i="15" s="1"/>
  <c r="F135" i="15" s="1"/>
  <c r="K135" i="15" s="1"/>
  <c r="AB135" i="15"/>
  <c r="AA134" i="15"/>
  <c r="AB134" i="15"/>
  <c r="AA133" i="15"/>
  <c r="AB133" i="15"/>
  <c r="AA132" i="15"/>
  <c r="AB132" i="15"/>
  <c r="AA131" i="15"/>
  <c r="AB131" i="15"/>
  <c r="AA130" i="15"/>
  <c r="AC130" i="15" s="1"/>
  <c r="F130" i="15" s="1"/>
  <c r="K130" i="15" s="1"/>
  <c r="AB130" i="15"/>
  <c r="AA129" i="15"/>
  <c r="AC129" i="15" s="1"/>
  <c r="F129" i="15" s="1"/>
  <c r="K129" i="15" s="1"/>
  <c r="AB129" i="15"/>
  <c r="AA128" i="15"/>
  <c r="AB128" i="15"/>
  <c r="AA127" i="15"/>
  <c r="AB127" i="15"/>
  <c r="AA126" i="15"/>
  <c r="AC126" i="15" s="1"/>
  <c r="F126" i="15" s="1"/>
  <c r="K126" i="15" s="1"/>
  <c r="AB126" i="15"/>
  <c r="AA125" i="15"/>
  <c r="AB125" i="15"/>
  <c r="AA124" i="15"/>
  <c r="AB124" i="15"/>
  <c r="AA123" i="15"/>
  <c r="AB123" i="15"/>
  <c r="AA122" i="15"/>
  <c r="AB122" i="15"/>
  <c r="AA121" i="15"/>
  <c r="AB121" i="15"/>
  <c r="AA120" i="15"/>
  <c r="AC120" i="15" s="1"/>
  <c r="F120" i="15" s="1"/>
  <c r="K120" i="15" s="1"/>
  <c r="AB120" i="15"/>
  <c r="AA119" i="15"/>
  <c r="AB119" i="15"/>
  <c r="AA118" i="15"/>
  <c r="AC118" i="15" s="1"/>
  <c r="F118" i="15" s="1"/>
  <c r="K118" i="15" s="1"/>
  <c r="AB118" i="15"/>
  <c r="AA117" i="15"/>
  <c r="AC117" i="15" s="1"/>
  <c r="F117" i="15" s="1"/>
  <c r="K117" i="15" s="1"/>
  <c r="AB117" i="15"/>
  <c r="AA116" i="15"/>
  <c r="AB116" i="15"/>
  <c r="AA115" i="15"/>
  <c r="AC115" i="15" s="1"/>
  <c r="F115" i="15" s="1"/>
  <c r="K115" i="15" s="1"/>
  <c r="AB115" i="15"/>
  <c r="AA114" i="15"/>
  <c r="AC114" i="15" s="1"/>
  <c r="F114" i="15" s="1"/>
  <c r="K114" i="15" s="1"/>
  <c r="AB114" i="15"/>
  <c r="AA113" i="15"/>
  <c r="AB113" i="15"/>
  <c r="AA112" i="15"/>
  <c r="AB112" i="15"/>
  <c r="AA111" i="15"/>
  <c r="AB111" i="15"/>
  <c r="AA110" i="15"/>
  <c r="AC110" i="15" s="1"/>
  <c r="F110" i="15" s="1"/>
  <c r="K110" i="15" s="1"/>
  <c r="AB110" i="15"/>
  <c r="AA109" i="15"/>
  <c r="AB109" i="15"/>
  <c r="AA108" i="15"/>
  <c r="AB108" i="15"/>
  <c r="K367" i="15"/>
  <c r="AF343" i="15"/>
  <c r="AF362" i="15"/>
  <c r="AF363" i="15"/>
  <c r="AF364" i="15"/>
  <c r="AF365" i="15"/>
  <c r="AF366" i="15"/>
  <c r="AF367" i="15"/>
  <c r="AF368" i="15"/>
  <c r="AC354" i="15"/>
  <c r="F351" i="15" s="1"/>
  <c r="H350" i="15"/>
  <c r="AC352" i="15"/>
  <c r="AC350" i="15"/>
  <c r="F349" i="15" s="1"/>
  <c r="AC314" i="15"/>
  <c r="L320" i="15" s="1"/>
  <c r="AF5" i="15"/>
  <c r="L1" i="15" s="1"/>
  <c r="AF344" i="15"/>
  <c r="AF267" i="15"/>
  <c r="G267" i="15" s="1"/>
  <c r="D66" i="15"/>
  <c r="D65" i="15"/>
  <c r="AA66" i="15"/>
  <c r="AB66" i="15"/>
  <c r="AA65" i="15"/>
  <c r="AB65" i="15"/>
  <c r="AC67" i="15"/>
  <c r="AF54" i="15"/>
  <c r="AF52" i="15"/>
  <c r="D64" i="15"/>
  <c r="D62" i="15"/>
  <c r="AA64" i="15"/>
  <c r="AC64" i="15" s="1"/>
  <c r="A64" i="15" s="1"/>
  <c r="AB64" i="15"/>
  <c r="AA62" i="15"/>
  <c r="AB62" i="15"/>
  <c r="AC61" i="15"/>
  <c r="AI29" i="18"/>
  <c r="E29" i="18" s="1"/>
  <c r="AF29" i="18"/>
  <c r="A29" i="18" s="1"/>
  <c r="D54" i="15"/>
  <c r="D53" i="15"/>
  <c r="AD59" i="15"/>
  <c r="AE59" i="15"/>
  <c r="K59" i="15"/>
  <c r="AD61" i="15"/>
  <c r="AF61" i="15" s="1"/>
  <c r="AE61" i="15"/>
  <c r="AD56" i="15"/>
  <c r="AE56" i="15"/>
  <c r="K56" i="15"/>
  <c r="AD57" i="15"/>
  <c r="AE57" i="15"/>
  <c r="AD58" i="15"/>
  <c r="AE58" i="15"/>
  <c r="AD60" i="15"/>
  <c r="AE60" i="15"/>
  <c r="K60" i="15"/>
  <c r="AD68" i="15"/>
  <c r="AF68" i="15" s="1"/>
  <c r="AE68" i="15"/>
  <c r="K68" i="15"/>
  <c r="AF72" i="15"/>
  <c r="AF71" i="15"/>
  <c r="AF70" i="15"/>
  <c r="AF69" i="15"/>
  <c r="AF55" i="15"/>
  <c r="AF74" i="15"/>
  <c r="AF73" i="15"/>
  <c r="AF75" i="15"/>
  <c r="B7" i="19"/>
  <c r="P12" i="19"/>
  <c r="R12" i="19" s="1"/>
  <c r="Q12" i="19"/>
  <c r="Q11" i="19"/>
  <c r="P11" i="19"/>
  <c r="P10" i="19"/>
  <c r="Q10" i="19"/>
  <c r="M14" i="19"/>
  <c r="N14" i="19"/>
  <c r="AC55" i="15"/>
  <c r="A55" i="15" s="1"/>
  <c r="AC17" i="15"/>
  <c r="A17" i="15" s="1"/>
  <c r="K17" i="15"/>
  <c r="D52" i="15"/>
  <c r="AA52" i="15"/>
  <c r="AB52" i="15"/>
  <c r="AD47" i="15"/>
  <c r="AE47" i="15"/>
  <c r="P67" i="19"/>
  <c r="Q67" i="19"/>
  <c r="AA51" i="15"/>
  <c r="AB51" i="15"/>
  <c r="AD50" i="15"/>
  <c r="AF50" i="15" s="1"/>
  <c r="AE50" i="15"/>
  <c r="AD49" i="15"/>
  <c r="AE49" i="15"/>
  <c r="AC42" i="15"/>
  <c r="AC30" i="15"/>
  <c r="A30" i="15" s="1"/>
  <c r="AC83" i="15"/>
  <c r="G83" i="15" s="1"/>
  <c r="I44" i="15"/>
  <c r="I45" i="15"/>
  <c r="I37" i="15"/>
  <c r="I38" i="15"/>
  <c r="I39" i="15"/>
  <c r="I40" i="15"/>
  <c r="I41" i="15"/>
  <c r="I36" i="15"/>
  <c r="I32" i="15"/>
  <c r="K32" i="15"/>
  <c r="H73" i="15" s="1"/>
  <c r="AC73" i="15"/>
  <c r="G73" i="15" s="1"/>
  <c r="AA68" i="15"/>
  <c r="AB68" i="15"/>
  <c r="D68" i="15"/>
  <c r="AC32" i="15"/>
  <c r="A41" i="15" s="1"/>
  <c r="AC43" i="15"/>
  <c r="A45" i="15" s="1"/>
  <c r="AC45" i="15"/>
  <c r="AC44" i="15"/>
  <c r="AC46" i="15"/>
  <c r="AF20" i="15"/>
  <c r="L4" i="15" s="1"/>
  <c r="AC324" i="15"/>
  <c r="AC323" i="15"/>
  <c r="AC322" i="15"/>
  <c r="AC321" i="15"/>
  <c r="AC320" i="15"/>
  <c r="AC319" i="15"/>
  <c r="AC318" i="15"/>
  <c r="AC317" i="15"/>
  <c r="AC316" i="15"/>
  <c r="AC315" i="15"/>
  <c r="AC313" i="15"/>
  <c r="A313" i="15" s="1"/>
  <c r="AF13" i="15"/>
  <c r="M2" i="15" s="1"/>
  <c r="AF11" i="15"/>
  <c r="N2" i="15" s="1"/>
  <c r="AC5" i="15"/>
  <c r="F1" i="15" s="1"/>
  <c r="AC2" i="15"/>
  <c r="A2" i="15" s="1"/>
  <c r="AA100" i="15"/>
  <c r="AC100" i="15" s="1"/>
  <c r="A100" i="15" s="1"/>
  <c r="AB100" i="15"/>
  <c r="AC101" i="15"/>
  <c r="A101" i="15" s="1"/>
  <c r="AC70" i="15"/>
  <c r="AF122" i="18"/>
  <c r="A122" i="18" s="1"/>
  <c r="AF132" i="18"/>
  <c r="A132" i="18" s="1"/>
  <c r="AI4" i="18"/>
  <c r="E3" i="18" s="1"/>
  <c r="AF59" i="18"/>
  <c r="A59" i="18" s="1"/>
  <c r="AF56" i="18"/>
  <c r="A56" i="18" s="1"/>
  <c r="AF57" i="18"/>
  <c r="A57" i="18" s="1"/>
  <c r="AF58" i="18"/>
  <c r="A58" i="18" s="1"/>
  <c r="AF55" i="18"/>
  <c r="A55" i="18" s="1"/>
  <c r="AI3" i="18"/>
  <c r="E1" i="18" s="1"/>
  <c r="S12" i="11"/>
  <c r="P12" i="11"/>
  <c r="AF354" i="15"/>
  <c r="AF353" i="15"/>
  <c r="AC357" i="15"/>
  <c r="A357" i="15" s="1"/>
  <c r="AC361" i="15"/>
  <c r="A362" i="15" s="1"/>
  <c r="AC346" i="15"/>
  <c r="A346" i="15" s="1"/>
  <c r="M53" i="19"/>
  <c r="O53" i="19" s="1"/>
  <c r="A53" i="19" s="1"/>
  <c r="N53" i="19"/>
  <c r="AC353" i="15"/>
  <c r="A353" i="15" s="1"/>
  <c r="J353" i="15" s="1"/>
  <c r="N55" i="19"/>
  <c r="M55" i="19"/>
  <c r="N54" i="19"/>
  <c r="M54" i="19"/>
  <c r="AC355" i="15"/>
  <c r="A355" i="15" s="1"/>
  <c r="J355" i="15" s="1"/>
  <c r="AC349" i="15"/>
  <c r="A349" i="15" s="1"/>
  <c r="N52" i="19"/>
  <c r="M52" i="19"/>
  <c r="N51" i="19"/>
  <c r="M51" i="19"/>
  <c r="O51" i="19" s="1"/>
  <c r="A51" i="19" s="1"/>
  <c r="N50" i="19"/>
  <c r="M50" i="19"/>
  <c r="O50" i="19" s="1"/>
  <c r="A50" i="19" s="1"/>
  <c r="AC348" i="15"/>
  <c r="A348" i="15" s="1"/>
  <c r="J348" i="15" s="1"/>
  <c r="AC347" i="15"/>
  <c r="A347" i="15" s="1"/>
  <c r="J347" i="15" s="1"/>
  <c r="AF342" i="15"/>
  <c r="AF327" i="15"/>
  <c r="AI129" i="18"/>
  <c r="E129" i="18" s="1"/>
  <c r="AI128" i="18"/>
  <c r="E128" i="18" s="1"/>
  <c r="AF131" i="18"/>
  <c r="A131" i="18" s="1"/>
  <c r="AF129" i="18"/>
  <c r="A129" i="18" s="1"/>
  <c r="AF128" i="18"/>
  <c r="A128" i="18" s="1"/>
  <c r="AI126" i="18"/>
  <c r="E126" i="18" s="1"/>
  <c r="AF126" i="18"/>
  <c r="A126" i="18" s="1"/>
  <c r="AF124" i="18"/>
  <c r="A124" i="18" s="1"/>
  <c r="AI38" i="18"/>
  <c r="AI37" i="18"/>
  <c r="AI36" i="18"/>
  <c r="AI35" i="18"/>
  <c r="AI34" i="18"/>
  <c r="AI33" i="18"/>
  <c r="E33" i="18" s="1"/>
  <c r="AF40" i="18"/>
  <c r="AF12" i="15"/>
  <c r="M1" i="15" s="1"/>
  <c r="B46" i="19"/>
  <c r="B44" i="19"/>
  <c r="B45" i="19"/>
  <c r="B43" i="19"/>
  <c r="B42" i="19"/>
  <c r="B41" i="19"/>
  <c r="B40" i="19"/>
  <c r="B39" i="19"/>
  <c r="B38" i="19"/>
  <c r="B37" i="19"/>
  <c r="AC58" i="15"/>
  <c r="G56" i="15" s="1"/>
  <c r="AC16" i="15"/>
  <c r="G51" i="15" s="1"/>
  <c r="AF14" i="15"/>
  <c r="G13" i="15" s="1"/>
  <c r="AC14" i="15"/>
  <c r="F13" i="15" s="1"/>
  <c r="AC13" i="15"/>
  <c r="C13" i="15" s="1"/>
  <c r="AC19" i="15"/>
  <c r="A27" i="15" s="1"/>
  <c r="D330" i="15"/>
  <c r="D332" i="15" s="1"/>
  <c r="D7" i="15" s="1"/>
  <c r="D334" i="15"/>
  <c r="C330" i="15"/>
  <c r="C334" i="15"/>
  <c r="AF6" i="15"/>
  <c r="N27" i="19"/>
  <c r="N28" i="19"/>
  <c r="M28" i="19"/>
  <c r="M27" i="19"/>
  <c r="H137" i="15"/>
  <c r="H123" i="15"/>
  <c r="N31" i="19"/>
  <c r="M31" i="19"/>
  <c r="O31" i="19" s="1"/>
  <c r="A31" i="19" s="1"/>
  <c r="N46" i="19"/>
  <c r="M46" i="19"/>
  <c r="N45" i="19"/>
  <c r="M45" i="19"/>
  <c r="N44" i="19"/>
  <c r="M44" i="19"/>
  <c r="N43" i="19"/>
  <c r="M43" i="19"/>
  <c r="N42" i="19"/>
  <c r="M42" i="19"/>
  <c r="O42" i="19" s="1"/>
  <c r="A42" i="19" s="1"/>
  <c r="M39" i="19"/>
  <c r="O39" i="19" s="1"/>
  <c r="A39" i="19" s="1"/>
  <c r="N39" i="19"/>
  <c r="M38" i="19"/>
  <c r="N38" i="19"/>
  <c r="M37" i="19"/>
  <c r="N37" i="19"/>
  <c r="M36" i="19"/>
  <c r="N36" i="19"/>
  <c r="O56" i="19"/>
  <c r="O30" i="19"/>
  <c r="O29" i="19"/>
  <c r="O26" i="19"/>
  <c r="B12" i="19"/>
  <c r="B9" i="19"/>
  <c r="M10" i="19"/>
  <c r="N10" i="19"/>
  <c r="M9" i="19"/>
  <c r="N9" i="19"/>
  <c r="M70" i="19"/>
  <c r="N70" i="19"/>
  <c r="E70" i="19"/>
  <c r="M71" i="19"/>
  <c r="N71" i="19"/>
  <c r="M72" i="19"/>
  <c r="O72" i="19" s="1"/>
  <c r="A72" i="19" s="1"/>
  <c r="N72" i="19"/>
  <c r="M73" i="19"/>
  <c r="O73" i="19" s="1"/>
  <c r="A73" i="19" s="1"/>
  <c r="N73" i="19"/>
  <c r="M74" i="19"/>
  <c r="N74" i="19"/>
  <c r="E74" i="19"/>
  <c r="M75" i="19"/>
  <c r="N75" i="19"/>
  <c r="AF24" i="18"/>
  <c r="A24" i="18" s="1"/>
  <c r="AI23" i="18"/>
  <c r="E23" i="18" s="1"/>
  <c r="AF23" i="18"/>
  <c r="A23" i="18" s="1"/>
  <c r="M12" i="19"/>
  <c r="N12" i="19"/>
  <c r="N19" i="19"/>
  <c r="M76" i="19"/>
  <c r="N76" i="19"/>
  <c r="O7" i="19"/>
  <c r="B76" i="19"/>
  <c r="B71" i="19"/>
  <c r="B72" i="19"/>
  <c r="B73" i="19"/>
  <c r="B74" i="19"/>
  <c r="B75" i="19"/>
  <c r="R76" i="19"/>
  <c r="R81" i="19"/>
  <c r="R82" i="19"/>
  <c r="B70" i="19"/>
  <c r="AF26" i="18"/>
  <c r="A26" i="18" s="1"/>
  <c r="AF25" i="18"/>
  <c r="AF22" i="18"/>
  <c r="A22" i="18" s="1"/>
  <c r="AF39" i="18"/>
  <c r="A39" i="18" s="1"/>
  <c r="M24" i="19"/>
  <c r="N24" i="19"/>
  <c r="AI26" i="18"/>
  <c r="E26" i="18" s="1"/>
  <c r="AI22" i="18"/>
  <c r="E22" i="18" s="1"/>
  <c r="AI31" i="18"/>
  <c r="E31" i="18" s="1"/>
  <c r="AI28" i="18"/>
  <c r="B11" i="19"/>
  <c r="AF31" i="18"/>
  <c r="A31" i="18" s="1"/>
  <c r="B16" i="19"/>
  <c r="M16" i="19"/>
  <c r="N16" i="19"/>
  <c r="M8" i="19"/>
  <c r="N8" i="19"/>
  <c r="P68" i="19"/>
  <c r="Q68" i="19"/>
  <c r="P69" i="19"/>
  <c r="R69" i="19" s="1"/>
  <c r="Q69" i="19"/>
  <c r="M17" i="19"/>
  <c r="N17" i="19"/>
  <c r="AF20" i="18"/>
  <c r="A20" i="18" s="1"/>
  <c r="AF19" i="18"/>
  <c r="A19" i="18" s="1"/>
  <c r="AF18" i="18"/>
  <c r="A18" i="18" s="1"/>
  <c r="AF17" i="18"/>
  <c r="A17" i="18" s="1"/>
  <c r="AI25" i="18"/>
  <c r="AF28" i="18"/>
  <c r="A28" i="18" s="1"/>
  <c r="B82" i="19"/>
  <c r="D59" i="19" s="1"/>
  <c r="E82" i="19"/>
  <c r="D82" i="19"/>
  <c r="B83" i="19"/>
  <c r="E83" i="19"/>
  <c r="D83" i="19"/>
  <c r="B81" i="19"/>
  <c r="C59" i="19" s="1"/>
  <c r="E81" i="19"/>
  <c r="D81" i="19"/>
  <c r="AF38" i="18"/>
  <c r="A38" i="18" s="1"/>
  <c r="AF37" i="18"/>
  <c r="A37" i="18" s="1"/>
  <c r="AF33" i="18"/>
  <c r="A33" i="18" s="1"/>
  <c r="AF36" i="18"/>
  <c r="A36" i="18" s="1"/>
  <c r="AF35" i="18"/>
  <c r="A35" i="18" s="1"/>
  <c r="AF34" i="18"/>
  <c r="A34" i="18" s="1"/>
  <c r="AF32" i="18"/>
  <c r="A32" i="18" s="1"/>
  <c r="AC56" i="15"/>
  <c r="C256" i="11"/>
  <c r="B66" i="19" s="1"/>
  <c r="M66" i="19"/>
  <c r="N66" i="19"/>
  <c r="R83" i="19"/>
  <c r="C260" i="11"/>
  <c r="F250" i="11" s="1"/>
  <c r="C261" i="11"/>
  <c r="E250" i="11" s="1"/>
  <c r="Q256" i="11"/>
  <c r="R256" i="11"/>
  <c r="P256" i="11"/>
  <c r="AA21" i="15"/>
  <c r="AB21" i="15"/>
  <c r="AA24" i="15"/>
  <c r="AB24" i="15"/>
  <c r="AA23" i="15"/>
  <c r="AB23" i="15"/>
  <c r="AA22" i="15"/>
  <c r="AB22" i="15"/>
  <c r="AC15" i="15"/>
  <c r="A15" i="15" s="1"/>
  <c r="G363" i="15" s="1"/>
  <c r="AC10" i="15"/>
  <c r="A10" i="15" s="1"/>
  <c r="A71" i="15" s="1"/>
  <c r="AC4" i="15"/>
  <c r="A4" i="15" s="1"/>
  <c r="A103" i="15" s="1"/>
  <c r="AF11" i="18"/>
  <c r="A11" i="18" s="1"/>
  <c r="AF12" i="18"/>
  <c r="A12" i="18" s="1"/>
  <c r="AF13" i="18"/>
  <c r="A13" i="18" s="1"/>
  <c r="AF15" i="18"/>
  <c r="A15" i="18" s="1"/>
  <c r="AF10" i="18"/>
  <c r="A10" i="18" s="1"/>
  <c r="B17" i="19"/>
  <c r="R65" i="19"/>
  <c r="O65" i="19"/>
  <c r="R64" i="19"/>
  <c r="O64" i="19"/>
  <c r="R63" i="19"/>
  <c r="O63" i="19"/>
  <c r="R61" i="19"/>
  <c r="O61" i="19"/>
  <c r="R58" i="19"/>
  <c r="R56" i="19"/>
  <c r="R5" i="19"/>
  <c r="R25" i="19"/>
  <c r="R21" i="19"/>
  <c r="O21" i="19"/>
  <c r="R19" i="19"/>
  <c r="R18" i="19"/>
  <c r="M69" i="19"/>
  <c r="N69" i="19"/>
  <c r="B18" i="19"/>
  <c r="R17" i="19"/>
  <c r="M68" i="19"/>
  <c r="N68" i="19"/>
  <c r="R7" i="19"/>
  <c r="M67" i="19"/>
  <c r="N67" i="19"/>
  <c r="Q20" i="11"/>
  <c r="S20" i="11" s="1"/>
  <c r="E20" i="11" s="1"/>
  <c r="R20" i="11"/>
  <c r="Q21" i="11"/>
  <c r="S21" i="11" s="1"/>
  <c r="E21" i="11" s="1"/>
  <c r="R21" i="11"/>
  <c r="Q24" i="11"/>
  <c r="S24" i="11" s="1"/>
  <c r="E24" i="11" s="1"/>
  <c r="R24" i="11"/>
  <c r="Q26" i="11"/>
  <c r="S26" i="11" s="1"/>
  <c r="E26" i="11" s="1"/>
  <c r="R26" i="11"/>
  <c r="Q29" i="11"/>
  <c r="S29" i="11" s="1"/>
  <c r="E29" i="11" s="1"/>
  <c r="R29" i="11"/>
  <c r="Q30" i="11"/>
  <c r="S30" i="11" s="1"/>
  <c r="E30" i="11" s="1"/>
  <c r="R30" i="11"/>
  <c r="Q31" i="11"/>
  <c r="S31" i="11" s="1"/>
  <c r="E31" i="11" s="1"/>
  <c r="R31" i="11"/>
  <c r="Q32" i="11"/>
  <c r="S32" i="11" s="1"/>
  <c r="E32" i="11" s="1"/>
  <c r="R32" i="11"/>
  <c r="N247" i="11"/>
  <c r="O247" i="11"/>
  <c r="N245" i="11"/>
  <c r="P245" i="11" s="1"/>
  <c r="D245" i="11" s="1"/>
  <c r="O245" i="11"/>
  <c r="N242" i="11"/>
  <c r="O242" i="11"/>
  <c r="N241" i="11"/>
  <c r="O241" i="11"/>
  <c r="N240" i="11"/>
  <c r="O240" i="11"/>
  <c r="N237" i="11"/>
  <c r="O237" i="11"/>
  <c r="N235" i="11"/>
  <c r="O235" i="11"/>
  <c r="N233" i="11"/>
  <c r="O233" i="11"/>
  <c r="N246" i="11"/>
  <c r="O246" i="11"/>
  <c r="N244" i="11"/>
  <c r="O244" i="11"/>
  <c r="N239" i="11"/>
  <c r="O239" i="11"/>
  <c r="N236" i="11"/>
  <c r="O236" i="11"/>
  <c r="N234" i="11"/>
  <c r="O234" i="11"/>
  <c r="N232" i="11"/>
  <c r="O232" i="11"/>
  <c r="N230" i="11"/>
  <c r="P230" i="11" s="1"/>
  <c r="A230" i="11" s="1"/>
  <c r="O230" i="11"/>
  <c r="P261" i="11"/>
  <c r="P260" i="11"/>
  <c r="P259" i="11"/>
  <c r="P258" i="11"/>
  <c r="P257" i="11"/>
  <c r="P255" i="11"/>
  <c r="S10" i="11"/>
  <c r="Q255" i="11"/>
  <c r="R255" i="11"/>
  <c r="Q18" i="11"/>
  <c r="S18" i="11" s="1"/>
  <c r="B18" i="11" s="1"/>
  <c r="B6" i="11" s="1"/>
  <c r="R18" i="11"/>
  <c r="Q258" i="11"/>
  <c r="R258" i="11"/>
  <c r="Q259" i="11"/>
  <c r="R259" i="11"/>
  <c r="Q260" i="11"/>
  <c r="R260" i="11"/>
  <c r="Q261" i="11"/>
  <c r="R261" i="11"/>
  <c r="Q257" i="11"/>
  <c r="R257" i="11"/>
  <c r="AF7" i="15"/>
  <c r="AF10" i="15"/>
  <c r="AF15" i="15"/>
  <c r="AF18" i="15"/>
  <c r="C338" i="15"/>
  <c r="D338" i="15"/>
  <c r="N17" i="11"/>
  <c r="P17" i="11" s="1"/>
  <c r="D15" i="11" s="1"/>
  <c r="O17" i="11"/>
  <c r="Q8" i="11"/>
  <c r="R8" i="11"/>
  <c r="Q17" i="11"/>
  <c r="R17" i="11"/>
  <c r="Q16" i="11"/>
  <c r="R16" i="11"/>
  <c r="Q14" i="11"/>
  <c r="R14" i="11"/>
  <c r="R13" i="11"/>
  <c r="N19" i="11"/>
  <c r="O19" i="11"/>
  <c r="Q19" i="11"/>
  <c r="R19" i="11"/>
  <c r="N18" i="11"/>
  <c r="O18" i="11"/>
  <c r="I362" i="15"/>
  <c r="G362" i="15"/>
  <c r="F362" i="15"/>
  <c r="Q223" i="11"/>
  <c r="R223" i="11"/>
  <c r="Q222" i="11"/>
  <c r="S222" i="11" s="1"/>
  <c r="E222" i="11" s="1"/>
  <c r="R222" i="11"/>
  <c r="Q221" i="11"/>
  <c r="S221" i="11" s="1"/>
  <c r="E221" i="11" s="1"/>
  <c r="R221" i="11"/>
  <c r="Q220" i="11"/>
  <c r="S220" i="11" s="1"/>
  <c r="E220" i="11" s="1"/>
  <c r="R220" i="11"/>
  <c r="Q219" i="11"/>
  <c r="R219" i="11"/>
  <c r="Q218" i="11"/>
  <c r="S218" i="11" s="1"/>
  <c r="E218" i="11" s="1"/>
  <c r="R218" i="11"/>
  <c r="Q217" i="11"/>
  <c r="S217" i="11" s="1"/>
  <c r="E217" i="11" s="1"/>
  <c r="R217" i="11"/>
  <c r="Q216" i="11"/>
  <c r="R216" i="11"/>
  <c r="Q215" i="11"/>
  <c r="S215" i="11" s="1"/>
  <c r="E215" i="11" s="1"/>
  <c r="R215" i="11"/>
  <c r="Q214" i="11"/>
  <c r="R214" i="11"/>
  <c r="Q213" i="11"/>
  <c r="S213" i="11" s="1"/>
  <c r="E213" i="11" s="1"/>
  <c r="R213" i="11"/>
  <c r="Q212" i="11"/>
  <c r="R212" i="11"/>
  <c r="Q211" i="11"/>
  <c r="S211" i="11" s="1"/>
  <c r="E211" i="11" s="1"/>
  <c r="R211" i="11"/>
  <c r="Q210" i="11"/>
  <c r="R210" i="11"/>
  <c r="Q209" i="11"/>
  <c r="S209" i="11" s="1"/>
  <c r="E209" i="11" s="1"/>
  <c r="R209" i="11"/>
  <c r="Q208" i="11"/>
  <c r="S208" i="11" s="1"/>
  <c r="E208" i="11" s="1"/>
  <c r="R208" i="11"/>
  <c r="Q207" i="11"/>
  <c r="R207" i="11"/>
  <c r="Q206" i="11"/>
  <c r="S206" i="11" s="1"/>
  <c r="E206" i="11" s="1"/>
  <c r="R206" i="11"/>
  <c r="Q205" i="11"/>
  <c r="R205" i="11"/>
  <c r="Q204" i="11"/>
  <c r="S204" i="11" s="1"/>
  <c r="E204" i="11" s="1"/>
  <c r="R204" i="11"/>
  <c r="Q203" i="11"/>
  <c r="S203" i="11" s="1"/>
  <c r="E203" i="11" s="1"/>
  <c r="R203" i="11"/>
  <c r="Q202" i="11"/>
  <c r="R202" i="11"/>
  <c r="Q201" i="11"/>
  <c r="R201" i="11"/>
  <c r="Q200" i="11"/>
  <c r="S200" i="11" s="1"/>
  <c r="E200" i="11" s="1"/>
  <c r="R200" i="11"/>
  <c r="Q199" i="11"/>
  <c r="R199" i="11"/>
  <c r="Q198" i="11"/>
  <c r="R198" i="11"/>
  <c r="Q197" i="11"/>
  <c r="S197" i="11" s="1"/>
  <c r="E197" i="11" s="1"/>
  <c r="R197" i="11"/>
  <c r="Q196" i="11"/>
  <c r="R196" i="11"/>
  <c r="Q195" i="11"/>
  <c r="S195" i="11" s="1"/>
  <c r="E195" i="11" s="1"/>
  <c r="R195" i="11"/>
  <c r="Q194" i="11"/>
  <c r="S194" i="11" s="1"/>
  <c r="E194" i="11" s="1"/>
  <c r="R194" i="11"/>
  <c r="Q193" i="11"/>
  <c r="R193" i="11"/>
  <c r="Q192" i="11"/>
  <c r="R192" i="11"/>
  <c r="Q191" i="11"/>
  <c r="S191" i="11" s="1"/>
  <c r="E191" i="11" s="1"/>
  <c r="R191" i="11"/>
  <c r="Q190" i="11"/>
  <c r="R190" i="11"/>
  <c r="Q189" i="11"/>
  <c r="R189" i="11"/>
  <c r="Q188" i="11"/>
  <c r="R188" i="11"/>
  <c r="Q187" i="11"/>
  <c r="S187" i="11" s="1"/>
  <c r="E187" i="11" s="1"/>
  <c r="R187" i="11"/>
  <c r="Q186" i="11"/>
  <c r="S186" i="11" s="1"/>
  <c r="E186" i="11" s="1"/>
  <c r="R186" i="11"/>
  <c r="Q185" i="11"/>
  <c r="S185" i="11" s="1"/>
  <c r="E185" i="11" s="1"/>
  <c r="R185" i="11"/>
  <c r="Q184" i="11"/>
  <c r="S184" i="11" s="1"/>
  <c r="E184" i="11" s="1"/>
  <c r="R184" i="11"/>
  <c r="Q183" i="11"/>
  <c r="R183" i="11"/>
  <c r="Q182" i="11"/>
  <c r="S182" i="11" s="1"/>
  <c r="E182" i="11" s="1"/>
  <c r="R182" i="11"/>
  <c r="Q181" i="11"/>
  <c r="R181" i="11"/>
  <c r="Q180" i="11"/>
  <c r="S180" i="11" s="1"/>
  <c r="E180" i="11" s="1"/>
  <c r="R180" i="11"/>
  <c r="Q179" i="11"/>
  <c r="S179" i="11" s="1"/>
  <c r="E179" i="11" s="1"/>
  <c r="R179" i="11"/>
  <c r="Q178" i="11"/>
  <c r="R178" i="11"/>
  <c r="Q177" i="11"/>
  <c r="S177" i="11" s="1"/>
  <c r="E177" i="11" s="1"/>
  <c r="R177" i="11"/>
  <c r="Q176" i="11"/>
  <c r="S176" i="11" s="1"/>
  <c r="E176" i="11" s="1"/>
  <c r="R176" i="11"/>
  <c r="Q175" i="11"/>
  <c r="R175" i="11"/>
  <c r="Q174" i="11"/>
  <c r="R174" i="11"/>
  <c r="Q173" i="11"/>
  <c r="S173" i="11" s="1"/>
  <c r="E173" i="11" s="1"/>
  <c r="R173" i="11"/>
  <c r="Q172" i="11"/>
  <c r="R172" i="11"/>
  <c r="Q171" i="11"/>
  <c r="R171" i="11"/>
  <c r="Q170" i="11"/>
  <c r="S170" i="11" s="1"/>
  <c r="E170" i="11" s="1"/>
  <c r="R170" i="11"/>
  <c r="Q169" i="11"/>
  <c r="S169" i="11" s="1"/>
  <c r="E169" i="11" s="1"/>
  <c r="R169" i="11"/>
  <c r="Q168" i="11"/>
  <c r="R168" i="11"/>
  <c r="Q167" i="11"/>
  <c r="S167" i="11" s="1"/>
  <c r="E167" i="11" s="1"/>
  <c r="R167" i="11"/>
  <c r="Q166" i="11"/>
  <c r="R166" i="11"/>
  <c r="Q165" i="11"/>
  <c r="S165" i="11" s="1"/>
  <c r="E165" i="11" s="1"/>
  <c r="R165" i="11"/>
  <c r="Q164" i="11"/>
  <c r="S164" i="11" s="1"/>
  <c r="E164" i="11" s="1"/>
  <c r="R164" i="11"/>
  <c r="Q163" i="11"/>
  <c r="S163" i="11" s="1"/>
  <c r="E163" i="11" s="1"/>
  <c r="R163" i="11"/>
  <c r="Q162" i="11"/>
  <c r="R162" i="11"/>
  <c r="Q161" i="11"/>
  <c r="S161" i="11" s="1"/>
  <c r="E161" i="11" s="1"/>
  <c r="R161" i="11"/>
  <c r="Q160" i="11"/>
  <c r="R160" i="11"/>
  <c r="Q159" i="11"/>
  <c r="R159" i="11"/>
  <c r="Q158" i="11"/>
  <c r="S158" i="11" s="1"/>
  <c r="E158" i="11" s="1"/>
  <c r="R158" i="11"/>
  <c r="Q157" i="11"/>
  <c r="S157" i="11" s="1"/>
  <c r="E157" i="11" s="1"/>
  <c r="R157" i="11"/>
  <c r="Q156" i="11"/>
  <c r="R156" i="11"/>
  <c r="Q155" i="11"/>
  <c r="S155" i="11" s="1"/>
  <c r="E155" i="11" s="1"/>
  <c r="R155" i="11"/>
  <c r="Q154" i="11"/>
  <c r="S154" i="11" s="1"/>
  <c r="E154" i="11" s="1"/>
  <c r="R154" i="11"/>
  <c r="Q153" i="11"/>
  <c r="S153" i="11" s="1"/>
  <c r="E153" i="11" s="1"/>
  <c r="R153" i="11"/>
  <c r="Q152" i="11"/>
  <c r="S152" i="11" s="1"/>
  <c r="E152" i="11" s="1"/>
  <c r="R152" i="11"/>
  <c r="Q151" i="11"/>
  <c r="S151" i="11" s="1"/>
  <c r="E151" i="11" s="1"/>
  <c r="R151" i="11"/>
  <c r="Q150" i="11"/>
  <c r="R150" i="11"/>
  <c r="Q149" i="11"/>
  <c r="S149" i="11" s="1"/>
  <c r="E149" i="11" s="1"/>
  <c r="R149" i="11"/>
  <c r="Q148" i="11"/>
  <c r="S148" i="11" s="1"/>
  <c r="E148" i="11" s="1"/>
  <c r="R148" i="11"/>
  <c r="Q147" i="11"/>
  <c r="S147" i="11" s="1"/>
  <c r="E147" i="11" s="1"/>
  <c r="R147" i="11"/>
  <c r="Q146" i="11"/>
  <c r="R146" i="11"/>
  <c r="Q145" i="11"/>
  <c r="R145" i="11"/>
  <c r="Q144" i="11"/>
  <c r="R144" i="11"/>
  <c r="Q143" i="11"/>
  <c r="S143" i="11" s="1"/>
  <c r="E143" i="11" s="1"/>
  <c r="R143" i="11"/>
  <c r="Q142" i="11"/>
  <c r="S142" i="11" s="1"/>
  <c r="E142" i="11" s="1"/>
  <c r="R142" i="11"/>
  <c r="Q141" i="11"/>
  <c r="R141" i="11"/>
  <c r="Q140" i="11"/>
  <c r="S140" i="11" s="1"/>
  <c r="E140" i="11" s="1"/>
  <c r="R140" i="11"/>
  <c r="Q139" i="11"/>
  <c r="S139" i="11" s="1"/>
  <c r="E139" i="11" s="1"/>
  <c r="R139" i="11"/>
  <c r="Q138" i="11"/>
  <c r="R138" i="11"/>
  <c r="Q137" i="11"/>
  <c r="S137" i="11" s="1"/>
  <c r="E137" i="11" s="1"/>
  <c r="R137" i="11"/>
  <c r="Q136" i="11"/>
  <c r="S136" i="11" s="1"/>
  <c r="E136" i="11" s="1"/>
  <c r="R136" i="11"/>
  <c r="Q135" i="11"/>
  <c r="R135" i="11"/>
  <c r="Q134" i="11"/>
  <c r="R134" i="11"/>
  <c r="Q133" i="11"/>
  <c r="R133" i="11"/>
  <c r="Q132" i="11"/>
  <c r="R132" i="11"/>
  <c r="Q131" i="11"/>
  <c r="S131" i="11" s="1"/>
  <c r="E131" i="11" s="1"/>
  <c r="R131" i="11"/>
  <c r="Q130" i="11"/>
  <c r="S130" i="11" s="1"/>
  <c r="E130" i="11" s="1"/>
  <c r="R130" i="11"/>
  <c r="Q129" i="11"/>
  <c r="R129" i="11"/>
  <c r="Q128" i="11"/>
  <c r="S128" i="11" s="1"/>
  <c r="E128" i="11" s="1"/>
  <c r="R128" i="11"/>
  <c r="Q127" i="11"/>
  <c r="S127" i="11" s="1"/>
  <c r="E127" i="11" s="1"/>
  <c r="R127" i="11"/>
  <c r="Q126" i="11"/>
  <c r="S126" i="11" s="1"/>
  <c r="E126" i="11" s="1"/>
  <c r="R126" i="11"/>
  <c r="Q125" i="11"/>
  <c r="S125" i="11" s="1"/>
  <c r="E125" i="11" s="1"/>
  <c r="R125" i="11"/>
  <c r="Q124" i="11"/>
  <c r="R124" i="11"/>
  <c r="Q123" i="11"/>
  <c r="R123" i="11"/>
  <c r="Q122" i="11"/>
  <c r="S122" i="11" s="1"/>
  <c r="E122" i="11" s="1"/>
  <c r="R122" i="11"/>
  <c r="Q121" i="11"/>
  <c r="S121" i="11" s="1"/>
  <c r="E121" i="11" s="1"/>
  <c r="R121" i="11"/>
  <c r="Q120" i="11"/>
  <c r="R120" i="11"/>
  <c r="Q119" i="11"/>
  <c r="S119" i="11" s="1"/>
  <c r="E119" i="11" s="1"/>
  <c r="R119" i="11"/>
  <c r="Q118" i="11"/>
  <c r="R118" i="11"/>
  <c r="Q117" i="11"/>
  <c r="R117" i="11"/>
  <c r="Q116" i="11"/>
  <c r="S116" i="11" s="1"/>
  <c r="E116" i="11" s="1"/>
  <c r="R116" i="11"/>
  <c r="Q115" i="11"/>
  <c r="R115" i="11"/>
  <c r="Q114" i="11"/>
  <c r="R114" i="11"/>
  <c r="Q113" i="11"/>
  <c r="S113" i="11" s="1"/>
  <c r="E113" i="11" s="1"/>
  <c r="R113" i="11"/>
  <c r="Q112" i="11"/>
  <c r="R112" i="11"/>
  <c r="Q111" i="11"/>
  <c r="S111" i="11" s="1"/>
  <c r="E111" i="11" s="1"/>
  <c r="R111" i="11"/>
  <c r="Q110" i="11"/>
  <c r="S110" i="11" s="1"/>
  <c r="E110" i="11" s="1"/>
  <c r="R110" i="11"/>
  <c r="Q109" i="11"/>
  <c r="R109" i="11"/>
  <c r="Q108" i="11"/>
  <c r="R108" i="11"/>
  <c r="Q107" i="11"/>
  <c r="S107" i="11" s="1"/>
  <c r="E107" i="11" s="1"/>
  <c r="R107" i="11"/>
  <c r="Q106" i="11"/>
  <c r="R106" i="11"/>
  <c r="Q105" i="11"/>
  <c r="R105" i="11"/>
  <c r="Q104" i="11"/>
  <c r="S104" i="11" s="1"/>
  <c r="E104" i="11" s="1"/>
  <c r="R104" i="11"/>
  <c r="Q103" i="11"/>
  <c r="S103" i="11" s="1"/>
  <c r="E103" i="11" s="1"/>
  <c r="R103" i="11"/>
  <c r="Q102" i="11"/>
  <c r="S102" i="11" s="1"/>
  <c r="E102" i="11" s="1"/>
  <c r="R102" i="11"/>
  <c r="Q101" i="11"/>
  <c r="S101" i="11" s="1"/>
  <c r="E101" i="11" s="1"/>
  <c r="R101" i="11"/>
  <c r="Q100" i="11"/>
  <c r="R100" i="11"/>
  <c r="Q99" i="11"/>
  <c r="R99" i="11"/>
  <c r="Q98" i="11"/>
  <c r="S98" i="11" s="1"/>
  <c r="E98" i="11" s="1"/>
  <c r="R98" i="11"/>
  <c r="Q97" i="11"/>
  <c r="R97" i="11"/>
  <c r="Q96" i="11"/>
  <c r="S96" i="11" s="1"/>
  <c r="E96" i="11" s="1"/>
  <c r="R96" i="11"/>
  <c r="Q95" i="11"/>
  <c r="S95" i="11" s="1"/>
  <c r="E95" i="11" s="1"/>
  <c r="R95" i="11"/>
  <c r="Q94" i="11"/>
  <c r="R94" i="11"/>
  <c r="Q93" i="11"/>
  <c r="R93" i="11"/>
  <c r="Q92" i="11"/>
  <c r="S92" i="11" s="1"/>
  <c r="E92" i="11" s="1"/>
  <c r="R92" i="11"/>
  <c r="Q91" i="11"/>
  <c r="R91" i="11"/>
  <c r="Q90" i="11"/>
  <c r="R90" i="11"/>
  <c r="Q89" i="11"/>
  <c r="R89" i="11"/>
  <c r="Q88" i="11"/>
  <c r="R88" i="11"/>
  <c r="Q87" i="11"/>
  <c r="R87" i="11"/>
  <c r="Q86" i="11"/>
  <c r="S86" i="11" s="1"/>
  <c r="E86" i="11" s="1"/>
  <c r="R86" i="11"/>
  <c r="Q85" i="11"/>
  <c r="S85" i="11" s="1"/>
  <c r="E85" i="11" s="1"/>
  <c r="R85" i="11"/>
  <c r="Q84" i="11"/>
  <c r="R84" i="11"/>
  <c r="Q83" i="11"/>
  <c r="S83" i="11" s="1"/>
  <c r="E83" i="11" s="1"/>
  <c r="R83" i="11"/>
  <c r="Q82" i="11"/>
  <c r="R82" i="11"/>
  <c r="Q81" i="11"/>
  <c r="R81" i="11"/>
  <c r="Q80" i="11"/>
  <c r="S80" i="11" s="1"/>
  <c r="E80" i="11" s="1"/>
  <c r="R80" i="11"/>
  <c r="Q79" i="11"/>
  <c r="S79" i="11" s="1"/>
  <c r="E79" i="11" s="1"/>
  <c r="R79" i="11"/>
  <c r="Q78" i="11"/>
  <c r="R78" i="11"/>
  <c r="Q77" i="11"/>
  <c r="S77" i="11" s="1"/>
  <c r="E77" i="11" s="1"/>
  <c r="R77" i="11"/>
  <c r="Q76" i="11"/>
  <c r="R76" i="11"/>
  <c r="Q75" i="11"/>
  <c r="R75" i="11"/>
  <c r="Q74" i="11"/>
  <c r="S74" i="11" s="1"/>
  <c r="E74" i="11" s="1"/>
  <c r="R74" i="11"/>
  <c r="Q73" i="11"/>
  <c r="S73" i="11" s="1"/>
  <c r="E73" i="11" s="1"/>
  <c r="R73" i="11"/>
  <c r="Q72" i="11"/>
  <c r="R72" i="11"/>
  <c r="Q71" i="11"/>
  <c r="S71" i="11" s="1"/>
  <c r="E71" i="11" s="1"/>
  <c r="R71" i="11"/>
  <c r="Q70" i="11"/>
  <c r="S70" i="11" s="1"/>
  <c r="E70" i="11" s="1"/>
  <c r="R70" i="11"/>
  <c r="Q69" i="11"/>
  <c r="R69" i="11"/>
  <c r="Q68" i="11"/>
  <c r="S68" i="11" s="1"/>
  <c r="E68" i="11" s="1"/>
  <c r="R68" i="11"/>
  <c r="Q67" i="11"/>
  <c r="R67" i="11"/>
  <c r="Q66" i="11"/>
  <c r="S66" i="11" s="1"/>
  <c r="E66" i="11" s="1"/>
  <c r="R66" i="11"/>
  <c r="Q65" i="11"/>
  <c r="S65" i="11" s="1"/>
  <c r="E65" i="11" s="1"/>
  <c r="R65" i="11"/>
  <c r="Q64" i="11"/>
  <c r="S64" i="11" s="1"/>
  <c r="E64" i="11" s="1"/>
  <c r="R64" i="11"/>
  <c r="Q63" i="11"/>
  <c r="S63" i="11" s="1"/>
  <c r="E63" i="11" s="1"/>
  <c r="R63" i="11"/>
  <c r="Q61" i="11"/>
  <c r="S61" i="11" s="1"/>
  <c r="E61" i="11" s="1"/>
  <c r="R61" i="11"/>
  <c r="Q60" i="11"/>
  <c r="S60" i="11" s="1"/>
  <c r="E60" i="11" s="1"/>
  <c r="R60" i="11"/>
  <c r="Q59" i="11"/>
  <c r="R59" i="11"/>
  <c r="Q58" i="11"/>
  <c r="S58" i="11" s="1"/>
  <c r="E58" i="11" s="1"/>
  <c r="R58" i="11"/>
  <c r="Q57" i="11"/>
  <c r="R57" i="11"/>
  <c r="Q56" i="11"/>
  <c r="S56" i="11" s="1"/>
  <c r="E56" i="11" s="1"/>
  <c r="R56" i="11"/>
  <c r="Q55" i="11"/>
  <c r="S55" i="11" s="1"/>
  <c r="E55" i="11" s="1"/>
  <c r="R55" i="11"/>
  <c r="Q54" i="11"/>
  <c r="R54" i="11"/>
  <c r="Q53" i="11"/>
  <c r="R53" i="11"/>
  <c r="Q52" i="11"/>
  <c r="S52" i="11" s="1"/>
  <c r="E52" i="11" s="1"/>
  <c r="R52" i="11"/>
  <c r="Q51" i="11"/>
  <c r="S51" i="11" s="1"/>
  <c r="E51" i="11" s="1"/>
  <c r="R51" i="11"/>
  <c r="Q50" i="11"/>
  <c r="R50" i="11"/>
  <c r="Q49" i="11"/>
  <c r="S49" i="11" s="1"/>
  <c r="E49" i="11" s="1"/>
  <c r="R49" i="11"/>
  <c r="Q48" i="11"/>
  <c r="R48" i="11"/>
  <c r="Q47" i="11"/>
  <c r="R47" i="11"/>
  <c r="Q46" i="11"/>
  <c r="S46" i="11" s="1"/>
  <c r="E46" i="11" s="1"/>
  <c r="R46" i="11"/>
  <c r="Q45" i="11"/>
  <c r="S45" i="11" s="1"/>
  <c r="E45" i="11" s="1"/>
  <c r="R45" i="11"/>
  <c r="Q44" i="11"/>
  <c r="R44" i="11"/>
  <c r="Q43" i="11"/>
  <c r="S43" i="11" s="1"/>
  <c r="E43" i="11" s="1"/>
  <c r="R43" i="11"/>
  <c r="Q42" i="11"/>
  <c r="R42" i="11"/>
  <c r="Q41" i="11"/>
  <c r="R41" i="11"/>
  <c r="Q40" i="11"/>
  <c r="S40" i="11" s="1"/>
  <c r="E40" i="11" s="1"/>
  <c r="R40" i="11"/>
  <c r="Q39" i="11"/>
  <c r="R39" i="11"/>
  <c r="Q38" i="11"/>
  <c r="R38" i="11"/>
  <c r="Q37" i="11"/>
  <c r="R37" i="11"/>
  <c r="Q36" i="11"/>
  <c r="R36" i="11"/>
  <c r="Q35" i="11"/>
  <c r="S35" i="11" s="1"/>
  <c r="E35" i="11" s="1"/>
  <c r="R35" i="11"/>
  <c r="Q34" i="11"/>
  <c r="S34" i="11" s="1"/>
  <c r="E34" i="11" s="1"/>
  <c r="R34" i="11"/>
  <c r="Q33" i="11"/>
  <c r="R33" i="11"/>
  <c r="Q28" i="11"/>
  <c r="R28" i="11"/>
  <c r="Q27" i="11"/>
  <c r="R27" i="11"/>
  <c r="Q25" i="11"/>
  <c r="S25" i="11" s="1"/>
  <c r="E25" i="11" s="1"/>
  <c r="R25" i="11"/>
  <c r="Q23" i="11"/>
  <c r="R23" i="11"/>
  <c r="R22" i="11"/>
  <c r="Q22" i="11"/>
  <c r="N223" i="11"/>
  <c r="O223" i="11"/>
  <c r="N222" i="11"/>
  <c r="O222" i="11"/>
  <c r="N221" i="11"/>
  <c r="O221" i="11"/>
  <c r="N220" i="11"/>
  <c r="O220" i="11"/>
  <c r="N219" i="11"/>
  <c r="O219" i="11"/>
  <c r="N218" i="11"/>
  <c r="O218" i="11"/>
  <c r="N217" i="11"/>
  <c r="O217" i="11"/>
  <c r="N216" i="11"/>
  <c r="O216" i="11"/>
  <c r="N215" i="11"/>
  <c r="O215" i="11"/>
  <c r="N214" i="11"/>
  <c r="O214" i="11"/>
  <c r="N213" i="11"/>
  <c r="O213" i="11"/>
  <c r="N212" i="11"/>
  <c r="O212" i="11"/>
  <c r="N211" i="11"/>
  <c r="P211" i="11" s="1"/>
  <c r="D211" i="11" s="1"/>
  <c r="O211" i="11"/>
  <c r="N210" i="11"/>
  <c r="O210" i="11"/>
  <c r="N209" i="11"/>
  <c r="O209" i="11"/>
  <c r="N208" i="11"/>
  <c r="O208" i="11"/>
  <c r="N207" i="11"/>
  <c r="O207" i="11"/>
  <c r="N206" i="11"/>
  <c r="P206" i="11" s="1"/>
  <c r="D206" i="11" s="1"/>
  <c r="O206" i="11"/>
  <c r="N205" i="11"/>
  <c r="O205" i="11"/>
  <c r="N204" i="11"/>
  <c r="O204" i="11"/>
  <c r="N203" i="11"/>
  <c r="O203" i="11"/>
  <c r="N202" i="11"/>
  <c r="O202" i="11"/>
  <c r="N201" i="11"/>
  <c r="O201" i="11"/>
  <c r="N200" i="11"/>
  <c r="O200" i="11"/>
  <c r="N199" i="11"/>
  <c r="O199" i="11"/>
  <c r="N198" i="11"/>
  <c r="O198" i="11"/>
  <c r="N197" i="11"/>
  <c r="O197" i="11"/>
  <c r="N196" i="11"/>
  <c r="P196" i="11" s="1"/>
  <c r="D196" i="11" s="1"/>
  <c r="O196" i="11"/>
  <c r="N195" i="11"/>
  <c r="O195" i="11"/>
  <c r="N194" i="11"/>
  <c r="O194" i="11"/>
  <c r="N193" i="11"/>
  <c r="O193" i="11"/>
  <c r="N192" i="11"/>
  <c r="O192" i="11"/>
  <c r="N191" i="11"/>
  <c r="O191" i="11"/>
  <c r="N190" i="11"/>
  <c r="O190" i="11"/>
  <c r="N189" i="11"/>
  <c r="O189" i="11"/>
  <c r="N188" i="11"/>
  <c r="P188" i="11" s="1"/>
  <c r="D188" i="11" s="1"/>
  <c r="O188" i="11"/>
  <c r="N187" i="11"/>
  <c r="O187" i="11"/>
  <c r="N186" i="11"/>
  <c r="O186" i="11"/>
  <c r="N185" i="11"/>
  <c r="O185" i="11"/>
  <c r="N184" i="11"/>
  <c r="O184" i="11"/>
  <c r="N183" i="11"/>
  <c r="O183" i="11"/>
  <c r="N182" i="11"/>
  <c r="O182" i="11"/>
  <c r="N181" i="11"/>
  <c r="O181" i="11"/>
  <c r="N180" i="11"/>
  <c r="O180" i="11"/>
  <c r="N179" i="11"/>
  <c r="O179" i="11"/>
  <c r="N178" i="11"/>
  <c r="O178" i="11"/>
  <c r="N177" i="11"/>
  <c r="O177" i="11"/>
  <c r="N176" i="11"/>
  <c r="O176" i="11"/>
  <c r="N175" i="11"/>
  <c r="O175" i="11"/>
  <c r="N174" i="11"/>
  <c r="O174" i="11"/>
  <c r="N173" i="11"/>
  <c r="O173" i="11"/>
  <c r="N172" i="11"/>
  <c r="P172" i="11" s="1"/>
  <c r="D172" i="11" s="1"/>
  <c r="O172" i="11"/>
  <c r="N171" i="11"/>
  <c r="O171" i="11"/>
  <c r="N170" i="11"/>
  <c r="O170" i="11"/>
  <c r="N169" i="11"/>
  <c r="O169" i="11"/>
  <c r="N168" i="11"/>
  <c r="O168" i="11"/>
  <c r="N167" i="11"/>
  <c r="O167" i="11"/>
  <c r="N166" i="11"/>
  <c r="O166" i="11"/>
  <c r="N165" i="11"/>
  <c r="O165" i="11"/>
  <c r="N164" i="11"/>
  <c r="O164" i="11"/>
  <c r="N163" i="11"/>
  <c r="O163" i="11"/>
  <c r="N162" i="11"/>
  <c r="O162" i="11"/>
  <c r="N161" i="11"/>
  <c r="O161" i="11"/>
  <c r="N160" i="11"/>
  <c r="O160" i="11"/>
  <c r="N159" i="11"/>
  <c r="O159" i="11"/>
  <c r="N158" i="11"/>
  <c r="O158" i="11"/>
  <c r="N157" i="11"/>
  <c r="O157" i="11"/>
  <c r="N156" i="11"/>
  <c r="O156" i="11"/>
  <c r="N155" i="11"/>
  <c r="O155" i="11"/>
  <c r="N154" i="11"/>
  <c r="O154" i="11"/>
  <c r="N153" i="11"/>
  <c r="O153" i="11"/>
  <c r="N152" i="11"/>
  <c r="O152" i="11"/>
  <c r="N151" i="11"/>
  <c r="O151" i="11"/>
  <c r="N150" i="11"/>
  <c r="O150" i="11"/>
  <c r="N149" i="11"/>
  <c r="O149" i="11"/>
  <c r="N148" i="11"/>
  <c r="O148" i="11"/>
  <c r="N147" i="11"/>
  <c r="O147" i="11"/>
  <c r="N146" i="11"/>
  <c r="P146" i="11" s="1"/>
  <c r="D146" i="11" s="1"/>
  <c r="O146" i="11"/>
  <c r="N145" i="11"/>
  <c r="O145" i="11"/>
  <c r="N144" i="11"/>
  <c r="O144" i="11"/>
  <c r="N143" i="11"/>
  <c r="O143" i="11"/>
  <c r="N142" i="11"/>
  <c r="P142" i="11" s="1"/>
  <c r="D142" i="11" s="1"/>
  <c r="O142" i="11"/>
  <c r="N141" i="11"/>
  <c r="O141" i="11"/>
  <c r="N140" i="11"/>
  <c r="O140" i="11"/>
  <c r="N139" i="11"/>
  <c r="O139" i="11"/>
  <c r="N138" i="11"/>
  <c r="O138" i="11"/>
  <c r="N137" i="11"/>
  <c r="O137" i="11"/>
  <c r="N136" i="11"/>
  <c r="O136" i="11"/>
  <c r="N135" i="11"/>
  <c r="O135" i="11"/>
  <c r="N134" i="11"/>
  <c r="O134" i="11"/>
  <c r="N133" i="11"/>
  <c r="O133" i="11"/>
  <c r="N132" i="11"/>
  <c r="O132" i="11"/>
  <c r="N131" i="11"/>
  <c r="P131" i="11" s="1"/>
  <c r="D131" i="11" s="1"/>
  <c r="O131" i="11"/>
  <c r="N130" i="11"/>
  <c r="O130" i="11"/>
  <c r="N129" i="11"/>
  <c r="O129" i="11"/>
  <c r="N128" i="11"/>
  <c r="O128" i="11"/>
  <c r="N127" i="11"/>
  <c r="O127" i="11"/>
  <c r="N126" i="11"/>
  <c r="O126" i="11"/>
  <c r="N125" i="11"/>
  <c r="O125" i="11"/>
  <c r="N124" i="11"/>
  <c r="O124" i="11"/>
  <c r="N123" i="11"/>
  <c r="O123" i="11"/>
  <c r="N122" i="11"/>
  <c r="O122" i="11"/>
  <c r="N121" i="11"/>
  <c r="O121" i="11"/>
  <c r="N120" i="11"/>
  <c r="O120" i="11"/>
  <c r="N119" i="11"/>
  <c r="O119" i="11"/>
  <c r="N118" i="11"/>
  <c r="O118" i="11"/>
  <c r="N117" i="11"/>
  <c r="O117" i="11"/>
  <c r="N116" i="11"/>
  <c r="O116" i="11"/>
  <c r="N115" i="11"/>
  <c r="O115" i="11"/>
  <c r="N114" i="11"/>
  <c r="O114" i="11"/>
  <c r="N113" i="11"/>
  <c r="P113" i="11" s="1"/>
  <c r="D113" i="11" s="1"/>
  <c r="O113" i="11"/>
  <c r="N112" i="11"/>
  <c r="O112" i="11"/>
  <c r="N111" i="11"/>
  <c r="O111" i="11"/>
  <c r="N110" i="11"/>
  <c r="P110" i="11" s="1"/>
  <c r="D110" i="11" s="1"/>
  <c r="O110" i="11"/>
  <c r="N109" i="11"/>
  <c r="O109" i="11"/>
  <c r="N108" i="11"/>
  <c r="O108" i="11"/>
  <c r="N107" i="11"/>
  <c r="O107" i="11"/>
  <c r="N106" i="11"/>
  <c r="O106" i="11"/>
  <c r="N105" i="11"/>
  <c r="O105" i="11"/>
  <c r="N104" i="11"/>
  <c r="O104" i="11"/>
  <c r="N103" i="11"/>
  <c r="O103" i="11"/>
  <c r="N102" i="11"/>
  <c r="O102" i="11"/>
  <c r="N101" i="11"/>
  <c r="O101" i="11"/>
  <c r="N100" i="11"/>
  <c r="O100" i="11"/>
  <c r="N99" i="11"/>
  <c r="O99" i="11"/>
  <c r="N98" i="11"/>
  <c r="O98" i="11"/>
  <c r="N97" i="11"/>
  <c r="O97" i="11"/>
  <c r="N96" i="11"/>
  <c r="O96" i="11"/>
  <c r="N95" i="11"/>
  <c r="O95" i="11"/>
  <c r="N94" i="11"/>
  <c r="O94" i="11"/>
  <c r="N93" i="11"/>
  <c r="O93" i="11"/>
  <c r="N92" i="11"/>
  <c r="O92" i="11"/>
  <c r="N91" i="11"/>
  <c r="O91" i="11"/>
  <c r="N90" i="11"/>
  <c r="O90" i="11"/>
  <c r="N89" i="11"/>
  <c r="O89" i="11"/>
  <c r="N88" i="11"/>
  <c r="O88" i="11"/>
  <c r="N87" i="11"/>
  <c r="O87" i="11"/>
  <c r="N86" i="11"/>
  <c r="O86" i="11"/>
  <c r="N85" i="11"/>
  <c r="O85" i="11"/>
  <c r="N84" i="11"/>
  <c r="O84" i="11"/>
  <c r="N83" i="11"/>
  <c r="O83" i="11"/>
  <c r="N82" i="11"/>
  <c r="O82" i="11"/>
  <c r="N81" i="11"/>
  <c r="O81" i="11"/>
  <c r="N80" i="11"/>
  <c r="O80" i="11"/>
  <c r="N79" i="11"/>
  <c r="O79" i="11"/>
  <c r="N78" i="11"/>
  <c r="O78" i="11"/>
  <c r="N77" i="11"/>
  <c r="O77" i="11"/>
  <c r="N76" i="11"/>
  <c r="O76" i="11"/>
  <c r="N75" i="11"/>
  <c r="O75" i="11"/>
  <c r="N74" i="11"/>
  <c r="O74" i="11"/>
  <c r="N73" i="11"/>
  <c r="O73" i="11"/>
  <c r="N72" i="11"/>
  <c r="O72" i="11"/>
  <c r="N71" i="11"/>
  <c r="O71" i="11"/>
  <c r="N70" i="11"/>
  <c r="O70" i="11"/>
  <c r="N69" i="11"/>
  <c r="O69" i="11"/>
  <c r="N68" i="11"/>
  <c r="O68" i="11"/>
  <c r="N67" i="11"/>
  <c r="O67" i="11"/>
  <c r="N66" i="11"/>
  <c r="O66" i="11"/>
  <c r="N65" i="11"/>
  <c r="P65" i="11" s="1"/>
  <c r="D65" i="11" s="1"/>
  <c r="O65" i="11"/>
  <c r="N64" i="11"/>
  <c r="O64" i="11"/>
  <c r="N63" i="11"/>
  <c r="O63" i="11"/>
  <c r="N61" i="11"/>
  <c r="O61" i="11"/>
  <c r="N60" i="11"/>
  <c r="O60" i="11"/>
  <c r="N59" i="11"/>
  <c r="O59" i="11"/>
  <c r="N58" i="11"/>
  <c r="O58" i="11"/>
  <c r="N57" i="11"/>
  <c r="O57" i="11"/>
  <c r="N56" i="11"/>
  <c r="O56" i="11"/>
  <c r="N55" i="11"/>
  <c r="O55" i="11"/>
  <c r="N54" i="11"/>
  <c r="O54" i="11"/>
  <c r="N53" i="11"/>
  <c r="O53" i="11"/>
  <c r="N52" i="11"/>
  <c r="O52" i="11"/>
  <c r="N51" i="11"/>
  <c r="O51" i="11"/>
  <c r="N50" i="11"/>
  <c r="O50" i="11"/>
  <c r="N49" i="11"/>
  <c r="O49" i="11"/>
  <c r="N48" i="11"/>
  <c r="P48" i="11" s="1"/>
  <c r="D48" i="11" s="1"/>
  <c r="O48" i="11"/>
  <c r="N47" i="11"/>
  <c r="O47" i="11"/>
  <c r="N46" i="11"/>
  <c r="O46" i="11"/>
  <c r="N45" i="11"/>
  <c r="O45" i="11"/>
  <c r="N44" i="11"/>
  <c r="O44" i="11"/>
  <c r="N43" i="11"/>
  <c r="O43" i="11"/>
  <c r="N42" i="11"/>
  <c r="O42" i="11"/>
  <c r="N41" i="11"/>
  <c r="O41" i="11"/>
  <c r="N40" i="11"/>
  <c r="O40" i="11"/>
  <c r="N39" i="11"/>
  <c r="O39" i="11"/>
  <c r="N38" i="11"/>
  <c r="O38" i="11"/>
  <c r="N37" i="11"/>
  <c r="O37" i="11"/>
  <c r="N36" i="11"/>
  <c r="O36" i="11"/>
  <c r="N35" i="11"/>
  <c r="O35" i="11"/>
  <c r="N34" i="11"/>
  <c r="O34" i="11"/>
  <c r="N33" i="11"/>
  <c r="O33" i="11"/>
  <c r="N32" i="11"/>
  <c r="O32" i="11"/>
  <c r="N31" i="11"/>
  <c r="O31" i="11"/>
  <c r="N30" i="11"/>
  <c r="O30" i="11"/>
  <c r="N29" i="11"/>
  <c r="O29" i="11"/>
  <c r="N28" i="11"/>
  <c r="O28" i="11"/>
  <c r="N27" i="11"/>
  <c r="O27" i="11"/>
  <c r="N26" i="11"/>
  <c r="O26" i="11"/>
  <c r="N25" i="11"/>
  <c r="O25" i="11"/>
  <c r="N24" i="11"/>
  <c r="O24" i="11"/>
  <c r="N23" i="11"/>
  <c r="O23" i="11"/>
  <c r="N22" i="11"/>
  <c r="O22" i="11"/>
  <c r="N21" i="11"/>
  <c r="O21" i="11"/>
  <c r="P243" i="11"/>
  <c r="P238" i="11"/>
  <c r="P231" i="11"/>
  <c r="P229" i="11"/>
  <c r="P224" i="11"/>
  <c r="N20" i="11"/>
  <c r="O20" i="11"/>
  <c r="S250" i="11"/>
  <c r="S249" i="11"/>
  <c r="S248" i="11"/>
  <c r="S247" i="11"/>
  <c r="S246" i="11"/>
  <c r="S245" i="11"/>
  <c r="S244" i="11"/>
  <c r="S243" i="11"/>
  <c r="S242" i="11"/>
  <c r="S241" i="11"/>
  <c r="S240" i="11"/>
  <c r="S239" i="11"/>
  <c r="S238" i="11"/>
  <c r="S237" i="11"/>
  <c r="S236" i="11"/>
  <c r="S235" i="11"/>
  <c r="S234" i="11"/>
  <c r="S233" i="11"/>
  <c r="S232" i="11"/>
  <c r="S231" i="11"/>
  <c r="S230" i="11"/>
  <c r="S229" i="11"/>
  <c r="P249" i="11"/>
  <c r="P248" i="11"/>
  <c r="AD107" i="15"/>
  <c r="AF107" i="15" s="1"/>
  <c r="G107" i="15" s="1"/>
  <c r="AE107" i="15"/>
  <c r="AD108" i="15"/>
  <c r="AF108" i="15" s="1"/>
  <c r="G108" i="15" s="1"/>
  <c r="AE108" i="15"/>
  <c r="A109" i="15"/>
  <c r="AD109" i="15"/>
  <c r="AE109" i="15"/>
  <c r="H109" i="15"/>
  <c r="A110" i="15"/>
  <c r="AD110" i="15"/>
  <c r="AF110" i="15" s="1"/>
  <c r="G110" i="15" s="1"/>
  <c r="AE110" i="15"/>
  <c r="H110" i="15"/>
  <c r="A111" i="15"/>
  <c r="AD111" i="15"/>
  <c r="AF111" i="15" s="1"/>
  <c r="G111" i="15" s="1"/>
  <c r="H111" i="15"/>
  <c r="AE111" i="15"/>
  <c r="A112" i="15"/>
  <c r="AD112" i="15"/>
  <c r="AE112" i="15"/>
  <c r="A113" i="15"/>
  <c r="AD113" i="15"/>
  <c r="AF113" i="15" s="1"/>
  <c r="G113" i="15" s="1"/>
  <c r="H113" i="15"/>
  <c r="AE113" i="15"/>
  <c r="A114" i="15"/>
  <c r="AD114" i="15"/>
  <c r="AF114" i="15" s="1"/>
  <c r="G114" i="15" s="1"/>
  <c r="AE114" i="15"/>
  <c r="H114" i="15"/>
  <c r="A115" i="15"/>
  <c r="AD115" i="15"/>
  <c r="AF115" i="15" s="1"/>
  <c r="G115" i="15" s="1"/>
  <c r="AE115" i="15"/>
  <c r="H115" i="15"/>
  <c r="AD116" i="15"/>
  <c r="AF116" i="15" s="1"/>
  <c r="G116" i="15" s="1"/>
  <c r="H116" i="15"/>
  <c r="AE116" i="15"/>
  <c r="A117" i="15"/>
  <c r="AD117" i="15"/>
  <c r="AF117" i="15" s="1"/>
  <c r="G117" i="15" s="1"/>
  <c r="H117" i="15"/>
  <c r="AE117" i="15"/>
  <c r="A118" i="15"/>
  <c r="AD118" i="15"/>
  <c r="AF118" i="15" s="1"/>
  <c r="G118" i="15" s="1"/>
  <c r="H118" i="15"/>
  <c r="AE118" i="15"/>
  <c r="AD119" i="15"/>
  <c r="AF119" i="15" s="1"/>
  <c r="G119" i="15" s="1"/>
  <c r="H119" i="15"/>
  <c r="AE119" i="15"/>
  <c r="A120" i="15"/>
  <c r="AD120" i="15"/>
  <c r="AF120" i="15" s="1"/>
  <c r="G120" i="15" s="1"/>
  <c r="AE120" i="15"/>
  <c r="H120" i="15"/>
  <c r="B121" i="15"/>
  <c r="AD121" i="15"/>
  <c r="AF121" i="15" s="1"/>
  <c r="G121" i="15" s="1"/>
  <c r="AE121" i="15"/>
  <c r="H121" i="15"/>
  <c r="AD122" i="15"/>
  <c r="AF122" i="15" s="1"/>
  <c r="G122" i="15" s="1"/>
  <c r="H122" i="15"/>
  <c r="AE122" i="15"/>
  <c r="AD310" i="15"/>
  <c r="AF310" i="15" s="1"/>
  <c r="G310" i="15" s="1"/>
  <c r="AE310" i="15"/>
  <c r="AD309" i="15"/>
  <c r="AF309" i="15" s="1"/>
  <c r="G309" i="15" s="1"/>
  <c r="AD308" i="15"/>
  <c r="AF308" i="15" s="1"/>
  <c r="G308" i="15" s="1"/>
  <c r="AE308" i="15"/>
  <c r="AD307" i="15"/>
  <c r="AF307" i="15" s="1"/>
  <c r="G307" i="15" s="1"/>
  <c r="AD306" i="15"/>
  <c r="AF306" i="15" s="1"/>
  <c r="G306" i="15" s="1"/>
  <c r="AE306" i="15"/>
  <c r="AD305" i="15"/>
  <c r="AF305" i="15" s="1"/>
  <c r="G305" i="15" s="1"/>
  <c r="AD304" i="15"/>
  <c r="AF304" i="15" s="1"/>
  <c r="G304" i="15" s="1"/>
  <c r="AD303" i="15"/>
  <c r="AF303" i="15" s="1"/>
  <c r="G303" i="15" s="1"/>
  <c r="AE303" i="15"/>
  <c r="AD302" i="15"/>
  <c r="AF302" i="15" s="1"/>
  <c r="G302" i="15" s="1"/>
  <c r="AD301" i="15"/>
  <c r="AF301" i="15" s="1"/>
  <c r="G301" i="15" s="1"/>
  <c r="AE301" i="15"/>
  <c r="AD300" i="15"/>
  <c r="AF300" i="15" s="1"/>
  <c r="G300" i="15" s="1"/>
  <c r="AD299" i="15"/>
  <c r="AF299" i="15" s="1"/>
  <c r="G299" i="15" s="1"/>
  <c r="AE299" i="15"/>
  <c r="AD298" i="15"/>
  <c r="AF298" i="15" s="1"/>
  <c r="G298" i="15" s="1"/>
  <c r="AD297" i="15"/>
  <c r="AF297" i="15" s="1"/>
  <c r="G297" i="15" s="1"/>
  <c r="AE297" i="15"/>
  <c r="AD296" i="15"/>
  <c r="AF296" i="15" s="1"/>
  <c r="G296" i="15" s="1"/>
  <c r="AD295" i="15"/>
  <c r="AF295" i="15" s="1"/>
  <c r="G295" i="15" s="1"/>
  <c r="AD294" i="15"/>
  <c r="AF294" i="15" s="1"/>
  <c r="G294" i="15" s="1"/>
  <c r="AE294" i="15"/>
  <c r="AD293" i="15"/>
  <c r="AF293" i="15" s="1"/>
  <c r="G293" i="15" s="1"/>
  <c r="AD292" i="15"/>
  <c r="AF292" i="15" s="1"/>
  <c r="G292" i="15" s="1"/>
  <c r="AE292" i="15"/>
  <c r="AD291" i="15"/>
  <c r="AF291" i="15" s="1"/>
  <c r="G291" i="15" s="1"/>
  <c r="AD290" i="15"/>
  <c r="AF290" i="15" s="1"/>
  <c r="G290" i="15" s="1"/>
  <c r="AD289" i="15"/>
  <c r="AF289" i="15" s="1"/>
  <c r="G289" i="15" s="1"/>
  <c r="AE289" i="15"/>
  <c r="AD288" i="15"/>
  <c r="AF288" i="15" s="1"/>
  <c r="G288" i="15" s="1"/>
  <c r="AE288" i="15"/>
  <c r="AD287" i="15"/>
  <c r="AF287" i="15" s="1"/>
  <c r="G287" i="15" s="1"/>
  <c r="AD286" i="15"/>
  <c r="AF286" i="15" s="1"/>
  <c r="G286" i="15" s="1"/>
  <c r="AE286" i="15"/>
  <c r="AD285" i="15"/>
  <c r="AF285" i="15" s="1"/>
  <c r="G285" i="15" s="1"/>
  <c r="AE285" i="15"/>
  <c r="AD284" i="15"/>
  <c r="AF284" i="15" s="1"/>
  <c r="G284" i="15" s="1"/>
  <c r="AD283" i="15"/>
  <c r="AF283" i="15" s="1"/>
  <c r="G283" i="15" s="1"/>
  <c r="AE283" i="15"/>
  <c r="AD282" i="15"/>
  <c r="AF282" i="15" s="1"/>
  <c r="G282" i="15" s="1"/>
  <c r="AD281" i="15"/>
  <c r="AF281" i="15" s="1"/>
  <c r="G281" i="15" s="1"/>
  <c r="AD280" i="15"/>
  <c r="AF280" i="15" s="1"/>
  <c r="G280" i="15" s="1"/>
  <c r="AE280" i="15"/>
  <c r="AD279" i="15"/>
  <c r="AF279" i="15" s="1"/>
  <c r="G279" i="15" s="1"/>
  <c r="AE279" i="15"/>
  <c r="AD278" i="15"/>
  <c r="AF278" i="15" s="1"/>
  <c r="G278" i="15" s="1"/>
  <c r="AE278" i="15"/>
  <c r="AD277" i="15"/>
  <c r="AF277" i="15" s="1"/>
  <c r="G277" i="15" s="1"/>
  <c r="AE277" i="15"/>
  <c r="AD276" i="15"/>
  <c r="AF276" i="15" s="1"/>
  <c r="G276" i="15" s="1"/>
  <c r="AE276" i="15"/>
  <c r="AD275" i="15"/>
  <c r="AF275" i="15" s="1"/>
  <c r="G275" i="15" s="1"/>
  <c r="AE275" i="15"/>
  <c r="AD274" i="15"/>
  <c r="AF274" i="15" s="1"/>
  <c r="G274" i="15" s="1"/>
  <c r="AD273" i="15"/>
  <c r="AF273" i="15" s="1"/>
  <c r="G273" i="15" s="1"/>
  <c r="AD272" i="15"/>
  <c r="AF272" i="15" s="1"/>
  <c r="G272" i="15" s="1"/>
  <c r="AE272" i="15"/>
  <c r="AD271" i="15"/>
  <c r="AF271" i="15" s="1"/>
  <c r="G271" i="15" s="1"/>
  <c r="AD270" i="15"/>
  <c r="AF270" i="15" s="1"/>
  <c r="G270" i="15" s="1"/>
  <c r="AE270" i="15"/>
  <c r="AD269" i="15"/>
  <c r="AF269" i="15" s="1"/>
  <c r="G269" i="15" s="1"/>
  <c r="AD268" i="15"/>
  <c r="AF268" i="15" s="1"/>
  <c r="G268" i="15" s="1"/>
  <c r="AE268" i="15"/>
  <c r="AD266" i="15"/>
  <c r="AF266" i="15" s="1"/>
  <c r="G266" i="15" s="1"/>
  <c r="AE266" i="15"/>
  <c r="AD265" i="15"/>
  <c r="AF265" i="15" s="1"/>
  <c r="G265" i="15" s="1"/>
  <c r="AE265" i="15"/>
  <c r="AD264" i="15"/>
  <c r="AF264" i="15" s="1"/>
  <c r="G264" i="15" s="1"/>
  <c r="AD263" i="15"/>
  <c r="AF263" i="15" s="1"/>
  <c r="G263" i="15" s="1"/>
  <c r="AE263" i="15"/>
  <c r="AD262" i="15"/>
  <c r="AF262" i="15" s="1"/>
  <c r="G262" i="15" s="1"/>
  <c r="AE262" i="15"/>
  <c r="AD261" i="15"/>
  <c r="AF261" i="15" s="1"/>
  <c r="G261" i="15" s="1"/>
  <c r="AE261" i="15"/>
  <c r="AD260" i="15"/>
  <c r="AF260" i="15" s="1"/>
  <c r="G260" i="15" s="1"/>
  <c r="AD259" i="15"/>
  <c r="AF259" i="15" s="1"/>
  <c r="G259" i="15" s="1"/>
  <c r="AE259" i="15"/>
  <c r="AD258" i="15"/>
  <c r="AF258" i="15" s="1"/>
  <c r="G258" i="15" s="1"/>
  <c r="AE258" i="15"/>
  <c r="AD257" i="15"/>
  <c r="AF257" i="15" s="1"/>
  <c r="G257" i="15" s="1"/>
  <c r="AE257" i="15"/>
  <c r="AD256" i="15"/>
  <c r="AF256" i="15" s="1"/>
  <c r="G256" i="15" s="1"/>
  <c r="AD255" i="15"/>
  <c r="AF255" i="15" s="1"/>
  <c r="G255" i="15" s="1"/>
  <c r="AE255" i="15"/>
  <c r="AD254" i="15"/>
  <c r="AF254" i="15" s="1"/>
  <c r="G254" i="15" s="1"/>
  <c r="AE254" i="15"/>
  <c r="AD253" i="15"/>
  <c r="AF253" i="15" s="1"/>
  <c r="G253" i="15" s="1"/>
  <c r="AE253" i="15"/>
  <c r="AD252" i="15"/>
  <c r="AF252" i="15" s="1"/>
  <c r="G252" i="15" s="1"/>
  <c r="AD251" i="15"/>
  <c r="AF251" i="15" s="1"/>
  <c r="G251" i="15" s="1"/>
  <c r="AE251" i="15"/>
  <c r="AD250" i="15"/>
  <c r="AF250" i="15" s="1"/>
  <c r="G250" i="15" s="1"/>
  <c r="AD249" i="15"/>
  <c r="AE249" i="15"/>
  <c r="AD248" i="15"/>
  <c r="AF248" i="15" s="1"/>
  <c r="G248" i="15" s="1"/>
  <c r="AE248" i="15"/>
  <c r="AD247" i="15"/>
  <c r="AF247" i="15" s="1"/>
  <c r="G247" i="15" s="1"/>
  <c r="AE247" i="15"/>
  <c r="AD246" i="15"/>
  <c r="AF246" i="15" s="1"/>
  <c r="G246" i="15" s="1"/>
  <c r="AE246" i="15"/>
  <c r="AD245" i="15"/>
  <c r="AE245" i="15"/>
  <c r="AD244" i="15"/>
  <c r="AF244" i="15" s="1"/>
  <c r="G244" i="15" s="1"/>
  <c r="AE244" i="15"/>
  <c r="AD243" i="15"/>
  <c r="AF243" i="15" s="1"/>
  <c r="G243" i="15" s="1"/>
  <c r="AE243" i="15"/>
  <c r="AD242" i="15"/>
  <c r="AF242" i="15" s="1"/>
  <c r="G242" i="15" s="1"/>
  <c r="AD241" i="15"/>
  <c r="AF241" i="15" s="1"/>
  <c r="G241" i="15" s="1"/>
  <c r="AD240" i="15"/>
  <c r="AF240" i="15" s="1"/>
  <c r="G240" i="15" s="1"/>
  <c r="AD239" i="15"/>
  <c r="AF239" i="15" s="1"/>
  <c r="G239" i="15" s="1"/>
  <c r="AE239" i="15"/>
  <c r="AD238" i="15"/>
  <c r="AF238" i="15" s="1"/>
  <c r="G238" i="15" s="1"/>
  <c r="AD237" i="15"/>
  <c r="AF237" i="15" s="1"/>
  <c r="G237" i="15" s="1"/>
  <c r="AE237" i="15"/>
  <c r="AD236" i="15"/>
  <c r="AF236" i="15" s="1"/>
  <c r="G236" i="15" s="1"/>
  <c r="AD235" i="15"/>
  <c r="AF235" i="15" s="1"/>
  <c r="G235" i="15" s="1"/>
  <c r="AD234" i="15"/>
  <c r="AF234" i="15" s="1"/>
  <c r="G234" i="15" s="1"/>
  <c r="AD233" i="15"/>
  <c r="AE233" i="15"/>
  <c r="AD232" i="15"/>
  <c r="AF232" i="15" s="1"/>
  <c r="G232" i="15" s="1"/>
  <c r="AE232" i="15"/>
  <c r="AD231" i="15"/>
  <c r="AF231" i="15" s="1"/>
  <c r="G231" i="15" s="1"/>
  <c r="AE231" i="15"/>
  <c r="AD230" i="15"/>
  <c r="AF230" i="15" s="1"/>
  <c r="G230" i="15" s="1"/>
  <c r="AE230" i="15"/>
  <c r="AD229" i="15"/>
  <c r="AF229" i="15" s="1"/>
  <c r="G229" i="15" s="1"/>
  <c r="AD228" i="15"/>
  <c r="AF228" i="15" s="1"/>
  <c r="G228" i="15" s="1"/>
  <c r="AE228" i="15"/>
  <c r="AD227" i="15"/>
  <c r="AF227" i="15" s="1"/>
  <c r="G227" i="15" s="1"/>
  <c r="AE227" i="15"/>
  <c r="AD226" i="15"/>
  <c r="AF226" i="15" s="1"/>
  <c r="G226" i="15" s="1"/>
  <c r="AD225" i="15"/>
  <c r="AF225" i="15" s="1"/>
  <c r="G225" i="15" s="1"/>
  <c r="AE225" i="15"/>
  <c r="AD224" i="15"/>
  <c r="AF224" i="15" s="1"/>
  <c r="G224" i="15" s="1"/>
  <c r="AE224" i="15"/>
  <c r="AD223" i="15"/>
  <c r="AF223" i="15" s="1"/>
  <c r="G223" i="15" s="1"/>
  <c r="AE223" i="15"/>
  <c r="AD222" i="15"/>
  <c r="AF222" i="15" s="1"/>
  <c r="G222" i="15" s="1"/>
  <c r="AE222" i="15"/>
  <c r="AD221" i="15"/>
  <c r="AF221" i="15" s="1"/>
  <c r="G221" i="15" s="1"/>
  <c r="AE221" i="15"/>
  <c r="AD220" i="15"/>
  <c r="AF220" i="15" s="1"/>
  <c r="G220" i="15" s="1"/>
  <c r="AE220" i="15"/>
  <c r="AD219" i="15"/>
  <c r="AE219" i="15"/>
  <c r="AD218" i="15"/>
  <c r="AF218" i="15" s="1"/>
  <c r="G218" i="15" s="1"/>
  <c r="AE218" i="15"/>
  <c r="AD217" i="15"/>
  <c r="AF217" i="15" s="1"/>
  <c r="G217" i="15" s="1"/>
  <c r="AE217" i="15"/>
  <c r="AD216" i="15"/>
  <c r="AF216" i="15" s="1"/>
  <c r="G216" i="15" s="1"/>
  <c r="AE216" i="15"/>
  <c r="AD215" i="15"/>
  <c r="AF215" i="15" s="1"/>
  <c r="G215" i="15" s="1"/>
  <c r="AD214" i="15"/>
  <c r="AF214" i="15" s="1"/>
  <c r="G214" i="15" s="1"/>
  <c r="AD213" i="15"/>
  <c r="AF213" i="15" s="1"/>
  <c r="G213" i="15" s="1"/>
  <c r="AD212" i="15"/>
  <c r="AE212" i="15"/>
  <c r="AD211" i="15"/>
  <c r="AF211" i="15" s="1"/>
  <c r="G211" i="15" s="1"/>
  <c r="AE211" i="15"/>
  <c r="AD210" i="15"/>
  <c r="AF210" i="15" s="1"/>
  <c r="G210" i="15" s="1"/>
  <c r="AE210" i="15"/>
  <c r="AD209" i="15"/>
  <c r="AF209" i="15" s="1"/>
  <c r="G209" i="15" s="1"/>
  <c r="AE209" i="15"/>
  <c r="AD208" i="15"/>
  <c r="AF208" i="15" s="1"/>
  <c r="G208" i="15" s="1"/>
  <c r="AD207" i="15"/>
  <c r="AF207" i="15" s="1"/>
  <c r="G207" i="15" s="1"/>
  <c r="AE207" i="15"/>
  <c r="AD206" i="15"/>
  <c r="AF206" i="15" s="1"/>
  <c r="G206" i="15" s="1"/>
  <c r="AE206" i="15"/>
  <c r="AD205" i="15"/>
  <c r="AE205" i="15"/>
  <c r="AD204" i="15"/>
  <c r="AF204" i="15" s="1"/>
  <c r="G204" i="15" s="1"/>
  <c r="AE204" i="15"/>
  <c r="AD203" i="15"/>
  <c r="AF203" i="15" s="1"/>
  <c r="G203" i="15" s="1"/>
  <c r="AE203" i="15"/>
  <c r="AD202" i="15"/>
  <c r="AF202" i="15" s="1"/>
  <c r="G202" i="15" s="1"/>
  <c r="AE202" i="15"/>
  <c r="AD201" i="15"/>
  <c r="AF201" i="15" s="1"/>
  <c r="G201" i="15" s="1"/>
  <c r="AE201" i="15"/>
  <c r="AD200" i="15"/>
  <c r="AE200" i="15"/>
  <c r="AD199" i="15"/>
  <c r="AE199" i="15"/>
  <c r="AD198" i="15"/>
  <c r="AF198" i="15" s="1"/>
  <c r="G198" i="15" s="1"/>
  <c r="AD197" i="15"/>
  <c r="AF197" i="15" s="1"/>
  <c r="G197" i="15" s="1"/>
  <c r="AE197" i="15"/>
  <c r="AD196" i="15"/>
  <c r="AF196" i="15" s="1"/>
  <c r="G196" i="15" s="1"/>
  <c r="AE196" i="15"/>
  <c r="AD195" i="15"/>
  <c r="AE195" i="15"/>
  <c r="AD194" i="15"/>
  <c r="AF194" i="15" s="1"/>
  <c r="G194" i="15" s="1"/>
  <c r="AD193" i="15"/>
  <c r="AE193" i="15"/>
  <c r="AD192" i="15"/>
  <c r="AE192" i="15"/>
  <c r="AD191" i="15"/>
  <c r="AF191" i="15" s="1"/>
  <c r="G191" i="15" s="1"/>
  <c r="AE191" i="15"/>
  <c r="AD190" i="15"/>
  <c r="AF190" i="15" s="1"/>
  <c r="G190" i="15" s="1"/>
  <c r="AD189" i="15"/>
  <c r="AF189" i="15" s="1"/>
  <c r="G189" i="15" s="1"/>
  <c r="AD188" i="15"/>
  <c r="AF188" i="15" s="1"/>
  <c r="G188" i="15" s="1"/>
  <c r="AE188" i="15"/>
  <c r="AD187" i="15"/>
  <c r="AF187" i="15" s="1"/>
  <c r="G187" i="15" s="1"/>
  <c r="AE187" i="15"/>
  <c r="AD186" i="15"/>
  <c r="AF186" i="15" s="1"/>
  <c r="G186" i="15" s="1"/>
  <c r="AE186" i="15"/>
  <c r="AD185" i="15"/>
  <c r="AF185" i="15" s="1"/>
  <c r="G185" i="15" s="1"/>
  <c r="AE185" i="15"/>
  <c r="AD184" i="15"/>
  <c r="AF184" i="15" s="1"/>
  <c r="G184" i="15" s="1"/>
  <c r="AE184" i="15"/>
  <c r="AD183" i="15"/>
  <c r="AF183" i="15" s="1"/>
  <c r="G183" i="15" s="1"/>
  <c r="AE183" i="15"/>
  <c r="AD182" i="15"/>
  <c r="AF182" i="15" s="1"/>
  <c r="G182" i="15" s="1"/>
  <c r="AE182" i="15"/>
  <c r="AD181" i="15"/>
  <c r="AF181" i="15" s="1"/>
  <c r="G181" i="15" s="1"/>
  <c r="AE181" i="15"/>
  <c r="AD180" i="15"/>
  <c r="AF180" i="15" s="1"/>
  <c r="G180" i="15" s="1"/>
  <c r="AE180" i="15"/>
  <c r="AD179" i="15"/>
  <c r="AF179" i="15" s="1"/>
  <c r="G179" i="15" s="1"/>
  <c r="AE179" i="15"/>
  <c r="AD178" i="15"/>
  <c r="AF178" i="15" s="1"/>
  <c r="G178" i="15" s="1"/>
  <c r="AE178" i="15"/>
  <c r="AD177" i="15"/>
  <c r="AF177" i="15" s="1"/>
  <c r="G177" i="15" s="1"/>
  <c r="AE177" i="15"/>
  <c r="AD176" i="15"/>
  <c r="AF176" i="15" s="1"/>
  <c r="G176" i="15" s="1"/>
  <c r="AE176" i="15"/>
  <c r="AD175" i="15"/>
  <c r="AF175" i="15" s="1"/>
  <c r="G175" i="15" s="1"/>
  <c r="AE175" i="15"/>
  <c r="AD174" i="15"/>
  <c r="AF174" i="15" s="1"/>
  <c r="G174" i="15" s="1"/>
  <c r="AE174" i="15"/>
  <c r="AD173" i="15"/>
  <c r="AF173" i="15" s="1"/>
  <c r="G173" i="15" s="1"/>
  <c r="AE173" i="15"/>
  <c r="AD172" i="15"/>
  <c r="AF172" i="15" s="1"/>
  <c r="G172" i="15" s="1"/>
  <c r="AD171" i="15"/>
  <c r="AF171" i="15" s="1"/>
  <c r="G171" i="15" s="1"/>
  <c r="AE171" i="15"/>
  <c r="AD170" i="15"/>
  <c r="AF170" i="15" s="1"/>
  <c r="G170" i="15" s="1"/>
  <c r="AE170" i="15"/>
  <c r="AD169" i="15"/>
  <c r="AF169" i="15" s="1"/>
  <c r="G169" i="15" s="1"/>
  <c r="AE169" i="15"/>
  <c r="AD168" i="15"/>
  <c r="AF168" i="15" s="1"/>
  <c r="G168" i="15" s="1"/>
  <c r="AE168" i="15"/>
  <c r="AD167" i="15"/>
  <c r="AF167" i="15" s="1"/>
  <c r="G167" i="15" s="1"/>
  <c r="AE167" i="15"/>
  <c r="AD166" i="15"/>
  <c r="AF166" i="15" s="1"/>
  <c r="G166" i="15" s="1"/>
  <c r="AD165" i="15"/>
  <c r="AF165" i="15" s="1"/>
  <c r="G165" i="15" s="1"/>
  <c r="AE165" i="15"/>
  <c r="AD164" i="15"/>
  <c r="AF164" i="15" s="1"/>
  <c r="G164" i="15" s="1"/>
  <c r="AD163" i="15"/>
  <c r="AF163" i="15" s="1"/>
  <c r="G163" i="15" s="1"/>
  <c r="AE163" i="15"/>
  <c r="AD162" i="15"/>
  <c r="AE162" i="15"/>
  <c r="AD161" i="15"/>
  <c r="AF161" i="15" s="1"/>
  <c r="G161" i="15" s="1"/>
  <c r="AD160" i="15"/>
  <c r="AF160" i="15" s="1"/>
  <c r="G160" i="15" s="1"/>
  <c r="AE160" i="15"/>
  <c r="AD159" i="15"/>
  <c r="AF159" i="15" s="1"/>
  <c r="G159" i="15" s="1"/>
  <c r="AE159" i="15"/>
  <c r="AD158" i="15"/>
  <c r="AF158" i="15" s="1"/>
  <c r="G158" i="15" s="1"/>
  <c r="AD157" i="15"/>
  <c r="AF157" i="15" s="1"/>
  <c r="G157" i="15" s="1"/>
  <c r="AD156" i="15"/>
  <c r="AF156" i="15" s="1"/>
  <c r="G156" i="15" s="1"/>
  <c r="AE156" i="15"/>
  <c r="AD155" i="15"/>
  <c r="AF155" i="15" s="1"/>
  <c r="G155" i="15" s="1"/>
  <c r="AE155" i="15"/>
  <c r="AD154" i="15"/>
  <c r="AF154" i="15" s="1"/>
  <c r="G154" i="15" s="1"/>
  <c r="AE154" i="15"/>
  <c r="AD153" i="15"/>
  <c r="AF153" i="15" s="1"/>
  <c r="G153" i="15" s="1"/>
  <c r="AD152" i="15"/>
  <c r="AF152" i="15" s="1"/>
  <c r="G152" i="15" s="1"/>
  <c r="AD151" i="15"/>
  <c r="AF151" i="15" s="1"/>
  <c r="G151" i="15" s="1"/>
  <c r="AD150" i="15"/>
  <c r="AF150" i="15" s="1"/>
  <c r="G150" i="15" s="1"/>
  <c r="AD148" i="15"/>
  <c r="AF148" i="15" s="1"/>
  <c r="G148" i="15" s="1"/>
  <c r="AE148" i="15"/>
  <c r="AD147" i="15"/>
  <c r="AF147" i="15" s="1"/>
  <c r="G147" i="15" s="1"/>
  <c r="AD146" i="15"/>
  <c r="AE146" i="15"/>
  <c r="AD145" i="15"/>
  <c r="AF145" i="15" s="1"/>
  <c r="G145" i="15" s="1"/>
  <c r="AE145" i="15"/>
  <c r="AD144" i="15"/>
  <c r="AF144" i="15" s="1"/>
  <c r="G144" i="15" s="1"/>
  <c r="AE144" i="15"/>
  <c r="AD143" i="15"/>
  <c r="AF143" i="15" s="1"/>
  <c r="G143" i="15" s="1"/>
  <c r="AD142" i="15"/>
  <c r="AF142" i="15" s="1"/>
  <c r="G142" i="15" s="1"/>
  <c r="AD141" i="15"/>
  <c r="AF141" i="15" s="1"/>
  <c r="G141" i="15" s="1"/>
  <c r="AE141" i="15"/>
  <c r="AD140" i="15"/>
  <c r="AF140" i="15" s="1"/>
  <c r="G140" i="15" s="1"/>
  <c r="AE140" i="15"/>
  <c r="AD139" i="15"/>
  <c r="AF139" i="15" s="1"/>
  <c r="G139" i="15" s="1"/>
  <c r="AE139" i="15"/>
  <c r="AD138" i="15"/>
  <c r="AF138" i="15" s="1"/>
  <c r="G138" i="15" s="1"/>
  <c r="AD137" i="15"/>
  <c r="AF137" i="15" s="1"/>
  <c r="G137" i="15" s="1"/>
  <c r="AE137" i="15"/>
  <c r="AD136" i="15"/>
  <c r="AF136" i="15" s="1"/>
  <c r="G136" i="15" s="1"/>
  <c r="AE136" i="15"/>
  <c r="AD135" i="15"/>
  <c r="AF135" i="15" s="1"/>
  <c r="G135" i="15" s="1"/>
  <c r="AE135" i="15"/>
  <c r="AD134" i="15"/>
  <c r="AF134" i="15" s="1"/>
  <c r="G134" i="15" s="1"/>
  <c r="AE134" i="15"/>
  <c r="AD133" i="15"/>
  <c r="AF133" i="15" s="1"/>
  <c r="G133" i="15" s="1"/>
  <c r="AD132" i="15"/>
  <c r="AF132" i="15" s="1"/>
  <c r="G132" i="15" s="1"/>
  <c r="AD131" i="15"/>
  <c r="AF131" i="15" s="1"/>
  <c r="G131" i="15" s="1"/>
  <c r="AE131" i="15"/>
  <c r="AD130" i="15"/>
  <c r="AF130" i="15" s="1"/>
  <c r="G130" i="15" s="1"/>
  <c r="AE130" i="15"/>
  <c r="AD129" i="15"/>
  <c r="AF129" i="15" s="1"/>
  <c r="G129" i="15" s="1"/>
  <c r="AE129" i="15"/>
  <c r="AD128" i="15"/>
  <c r="AF128" i="15" s="1"/>
  <c r="G128" i="15" s="1"/>
  <c r="AE128" i="15"/>
  <c r="AD127" i="15"/>
  <c r="AF127" i="15" s="1"/>
  <c r="G127" i="15" s="1"/>
  <c r="AE127" i="15"/>
  <c r="AD126" i="15"/>
  <c r="AF126" i="15" s="1"/>
  <c r="G126" i="15" s="1"/>
  <c r="AE126" i="15"/>
  <c r="AD125" i="15"/>
  <c r="AF125" i="15" s="1"/>
  <c r="G125" i="15" s="1"/>
  <c r="AE125" i="15"/>
  <c r="AE309" i="15"/>
  <c r="AE307" i="15"/>
  <c r="AE305" i="15"/>
  <c r="AE304" i="15"/>
  <c r="AE302" i="15"/>
  <c r="AE300" i="15"/>
  <c r="AE298" i="15"/>
  <c r="AE296" i="15"/>
  <c r="AE295" i="15"/>
  <c r="AE293" i="15"/>
  <c r="AE291" i="15"/>
  <c r="AE290" i="15"/>
  <c r="AE287" i="15"/>
  <c r="AE284" i="15"/>
  <c r="AE282" i="15"/>
  <c r="AE281" i="15"/>
  <c r="AE274" i="15"/>
  <c r="AE273" i="15"/>
  <c r="AE271" i="15"/>
  <c r="AE269" i="15"/>
  <c r="AE264" i="15"/>
  <c r="AE260" i="15"/>
  <c r="AE256" i="15"/>
  <c r="AE252" i="15"/>
  <c r="AE250" i="15"/>
  <c r="AE242" i="15"/>
  <c r="AE241" i="15"/>
  <c r="AE240" i="15"/>
  <c r="AE238" i="15"/>
  <c r="AE236" i="15"/>
  <c r="AE235" i="15"/>
  <c r="AE234" i="15"/>
  <c r="AE229" i="15"/>
  <c r="AE226" i="15"/>
  <c r="AE215" i="15"/>
  <c r="AE214" i="15"/>
  <c r="AE213" i="15"/>
  <c r="AE208" i="15"/>
  <c r="AE198" i="15"/>
  <c r="AE194" i="15"/>
  <c r="AE190" i="15"/>
  <c r="AE189" i="15"/>
  <c r="AE172" i="15"/>
  <c r="AE166" i="15"/>
  <c r="AE164" i="15"/>
  <c r="AE161" i="15"/>
  <c r="AE158" i="15"/>
  <c r="AE157" i="15"/>
  <c r="AE153" i="15"/>
  <c r="AE152" i="15"/>
  <c r="AE151" i="15"/>
  <c r="AE150" i="15"/>
  <c r="AE147" i="15"/>
  <c r="AE143" i="15"/>
  <c r="AE142" i="15"/>
  <c r="AE138" i="15"/>
  <c r="AE133" i="15"/>
  <c r="AE132" i="15"/>
  <c r="AE124" i="15"/>
  <c r="AD124" i="15"/>
  <c r="AF124" i="15" s="1"/>
  <c r="G124" i="15" s="1"/>
  <c r="AD106" i="15"/>
  <c r="AF106" i="15" s="1"/>
  <c r="B6" i="15" s="1"/>
  <c r="AE106" i="15"/>
  <c r="AD123" i="15"/>
  <c r="AF123" i="15" s="1"/>
  <c r="G123" i="15" s="1"/>
  <c r="AE123" i="15"/>
  <c r="AF341" i="15"/>
  <c r="AF339" i="15"/>
  <c r="AF337" i="15"/>
  <c r="AF336" i="15"/>
  <c r="AF335" i="15"/>
  <c r="AF334" i="15"/>
  <c r="AF333" i="15"/>
  <c r="AF332" i="15"/>
  <c r="AF331" i="15"/>
  <c r="AF330" i="15"/>
  <c r="AF329" i="15"/>
  <c r="AF328" i="15"/>
  <c r="AF326" i="15"/>
  <c r="AF325" i="15"/>
  <c r="AD104" i="15"/>
  <c r="AF104" i="15" s="1"/>
  <c r="B5" i="15" s="1"/>
  <c r="B104" i="15" s="1"/>
  <c r="AE104" i="15"/>
  <c r="AF19" i="15"/>
  <c r="AD102" i="15"/>
  <c r="AF102" i="15" s="1"/>
  <c r="G104" i="15" s="1"/>
  <c r="AE102" i="15"/>
  <c r="AD101" i="15"/>
  <c r="AE101" i="15"/>
  <c r="AC396" i="15"/>
  <c r="AC395" i="15"/>
  <c r="AC394" i="15"/>
  <c r="AC393" i="15"/>
  <c r="AC392" i="15"/>
  <c r="AC391" i="15"/>
  <c r="AC390" i="15"/>
  <c r="AC389" i="15"/>
  <c r="AC388" i="15"/>
  <c r="AC387" i="15"/>
  <c r="AC386" i="15"/>
  <c r="AC385" i="15"/>
  <c r="AC384" i="15"/>
  <c r="AC383" i="15"/>
  <c r="AC382" i="15"/>
  <c r="AC381" i="15"/>
  <c r="AC380" i="15"/>
  <c r="AC379" i="15"/>
  <c r="AC378" i="15"/>
  <c r="AC377" i="15"/>
  <c r="AC376" i="15"/>
  <c r="AC375" i="15"/>
  <c r="AC374" i="15"/>
  <c r="AC373" i="15"/>
  <c r="AC372" i="15"/>
  <c r="AC371" i="15"/>
  <c r="AC370" i="15"/>
  <c r="AC369" i="15"/>
  <c r="AC368" i="15"/>
  <c r="AC367" i="15"/>
  <c r="AC366" i="15"/>
  <c r="AC365" i="15"/>
  <c r="AC344" i="15"/>
  <c r="F344" i="15" s="1"/>
  <c r="AC343" i="15"/>
  <c r="A343" i="15" s="1"/>
  <c r="AC342" i="15"/>
  <c r="F342" i="15" s="1"/>
  <c r="AC341" i="15"/>
  <c r="A341" i="15" s="1"/>
  <c r="AC340" i="15"/>
  <c r="AC339" i="15"/>
  <c r="F339" i="15" s="1"/>
  <c r="AC338" i="15"/>
  <c r="F338" i="15" s="1"/>
  <c r="AC337" i="15"/>
  <c r="F337" i="15" s="1"/>
  <c r="AC336" i="15"/>
  <c r="A336" i="15" s="1"/>
  <c r="AC335" i="15"/>
  <c r="AC334" i="15"/>
  <c r="F334" i="15" s="1"/>
  <c r="AC333" i="15"/>
  <c r="A333" i="15" s="1"/>
  <c r="AC332" i="15"/>
  <c r="F332" i="15" s="1"/>
  <c r="AC331" i="15"/>
  <c r="A331" i="15" s="1"/>
  <c r="AC330" i="15"/>
  <c r="F330" i="15" s="1"/>
  <c r="AC329" i="15"/>
  <c r="A329" i="15" s="1"/>
  <c r="AC328" i="15"/>
  <c r="AC327" i="15"/>
  <c r="A327" i="15" s="1"/>
  <c r="AC326" i="15"/>
  <c r="AC325" i="15"/>
  <c r="AA106" i="15"/>
  <c r="AC106" i="15" s="1"/>
  <c r="A6" i="15" s="1"/>
  <c r="AB106" i="15"/>
  <c r="AA104" i="15"/>
  <c r="AB104" i="15"/>
  <c r="AF4" i="15"/>
  <c r="C4" i="15" s="1"/>
  <c r="C103" i="15" s="1"/>
  <c r="AC102" i="15"/>
  <c r="I104" i="15" s="1"/>
  <c r="AC103" i="15"/>
  <c r="H104" i="15" s="1"/>
  <c r="AF16" i="15"/>
  <c r="E7" i="15" s="1"/>
  <c r="C255" i="11"/>
  <c r="W2" i="14"/>
  <c r="W21" i="14"/>
  <c r="E3" i="14" s="1"/>
  <c r="E21" i="14" s="1"/>
  <c r="T21" i="14"/>
  <c r="D3" i="14" s="1"/>
  <c r="D21" i="14" s="1"/>
  <c r="W4" i="14"/>
  <c r="B4" i="14" s="1"/>
  <c r="B22" i="14" s="1"/>
  <c r="T4" i="14"/>
  <c r="A4" i="14" s="1"/>
  <c r="A22" i="14" s="1"/>
  <c r="W3" i="14"/>
  <c r="B3" i="14" s="1"/>
  <c r="B21" i="14" s="1"/>
  <c r="T3" i="14"/>
  <c r="A3" i="14" s="1"/>
  <c r="A21" i="14" s="1"/>
  <c r="W226" i="14"/>
  <c r="E226" i="14" s="1"/>
  <c r="T226" i="14"/>
  <c r="D226" i="14" s="1"/>
  <c r="W225" i="14"/>
  <c r="E225" i="14" s="1"/>
  <c r="T225" i="14"/>
  <c r="D225" i="14" s="1"/>
  <c r="W224" i="14"/>
  <c r="E224" i="14" s="1"/>
  <c r="T224" i="14"/>
  <c r="D224" i="14" s="1"/>
  <c r="W223" i="14"/>
  <c r="E223" i="14" s="1"/>
  <c r="T223" i="14"/>
  <c r="D223" i="14" s="1"/>
  <c r="W222" i="14"/>
  <c r="E222" i="14" s="1"/>
  <c r="T222" i="14"/>
  <c r="D222" i="14" s="1"/>
  <c r="W221" i="14"/>
  <c r="E221" i="14" s="1"/>
  <c r="T221" i="14"/>
  <c r="D221" i="14" s="1"/>
  <c r="W220" i="14"/>
  <c r="E220" i="14" s="1"/>
  <c r="T220" i="14"/>
  <c r="D220" i="14" s="1"/>
  <c r="W219" i="14"/>
  <c r="E219" i="14" s="1"/>
  <c r="T219" i="14"/>
  <c r="D219" i="14" s="1"/>
  <c r="W218" i="14"/>
  <c r="E218" i="14" s="1"/>
  <c r="T218" i="14"/>
  <c r="D218" i="14" s="1"/>
  <c r="W217" i="14"/>
  <c r="E217" i="14" s="1"/>
  <c r="T217" i="14"/>
  <c r="D217" i="14" s="1"/>
  <c r="W216" i="14"/>
  <c r="E216" i="14" s="1"/>
  <c r="T216" i="14"/>
  <c r="D216" i="14" s="1"/>
  <c r="W215" i="14"/>
  <c r="E215" i="14" s="1"/>
  <c r="T215" i="14"/>
  <c r="D215" i="14" s="1"/>
  <c r="W214" i="14"/>
  <c r="E214" i="14" s="1"/>
  <c r="T214" i="14"/>
  <c r="D214" i="14" s="1"/>
  <c r="W213" i="14"/>
  <c r="E213" i="14" s="1"/>
  <c r="T213" i="14"/>
  <c r="D213" i="14" s="1"/>
  <c r="W212" i="14"/>
  <c r="E212" i="14" s="1"/>
  <c r="T212" i="14"/>
  <c r="D212" i="14" s="1"/>
  <c r="W211" i="14"/>
  <c r="E211" i="14" s="1"/>
  <c r="T211" i="14"/>
  <c r="D211" i="14" s="1"/>
  <c r="W210" i="14"/>
  <c r="E210" i="14" s="1"/>
  <c r="T210" i="14"/>
  <c r="D210" i="14" s="1"/>
  <c r="W209" i="14"/>
  <c r="E209" i="14" s="1"/>
  <c r="T209" i="14"/>
  <c r="D209" i="14" s="1"/>
  <c r="W208" i="14"/>
  <c r="E208" i="14" s="1"/>
  <c r="T208" i="14"/>
  <c r="D208" i="14" s="1"/>
  <c r="W207" i="14"/>
  <c r="E207" i="14" s="1"/>
  <c r="T207" i="14"/>
  <c r="D207" i="14" s="1"/>
  <c r="W206" i="14"/>
  <c r="E206" i="14" s="1"/>
  <c r="T206" i="14"/>
  <c r="D206" i="14" s="1"/>
  <c r="W205" i="14"/>
  <c r="E205" i="14" s="1"/>
  <c r="T205" i="14"/>
  <c r="D205" i="14" s="1"/>
  <c r="W204" i="14"/>
  <c r="E204" i="14" s="1"/>
  <c r="T204" i="14"/>
  <c r="D204" i="14" s="1"/>
  <c r="W203" i="14"/>
  <c r="E203" i="14" s="1"/>
  <c r="T203" i="14"/>
  <c r="D203" i="14" s="1"/>
  <c r="W202" i="14"/>
  <c r="E202" i="14" s="1"/>
  <c r="T202" i="14"/>
  <c r="D202" i="14" s="1"/>
  <c r="W201" i="14"/>
  <c r="E201" i="14" s="1"/>
  <c r="T201" i="14"/>
  <c r="D201" i="14" s="1"/>
  <c r="W200" i="14"/>
  <c r="E200" i="14" s="1"/>
  <c r="T200" i="14"/>
  <c r="D200" i="14" s="1"/>
  <c r="W199" i="14"/>
  <c r="E199" i="14" s="1"/>
  <c r="T199" i="14"/>
  <c r="D199" i="14" s="1"/>
  <c r="W198" i="14"/>
  <c r="E198" i="14" s="1"/>
  <c r="T198" i="14"/>
  <c r="D198" i="14" s="1"/>
  <c r="W197" i="14"/>
  <c r="E197" i="14" s="1"/>
  <c r="T197" i="14"/>
  <c r="D197" i="14" s="1"/>
  <c r="W196" i="14"/>
  <c r="E196" i="14" s="1"/>
  <c r="T196" i="14"/>
  <c r="D196" i="14" s="1"/>
  <c r="W195" i="14"/>
  <c r="E195" i="14" s="1"/>
  <c r="T195" i="14"/>
  <c r="D195" i="14" s="1"/>
  <c r="W194" i="14"/>
  <c r="E194" i="14" s="1"/>
  <c r="T194" i="14"/>
  <c r="D194" i="14" s="1"/>
  <c r="W193" i="14"/>
  <c r="E193" i="14" s="1"/>
  <c r="T193" i="14"/>
  <c r="D193" i="14" s="1"/>
  <c r="W192" i="14"/>
  <c r="E192" i="14" s="1"/>
  <c r="T192" i="14"/>
  <c r="D192" i="14" s="1"/>
  <c r="W191" i="14"/>
  <c r="E191" i="14" s="1"/>
  <c r="T191" i="14"/>
  <c r="D191" i="14" s="1"/>
  <c r="W190" i="14"/>
  <c r="E190" i="14" s="1"/>
  <c r="T190" i="14"/>
  <c r="D190" i="14" s="1"/>
  <c r="W189" i="14"/>
  <c r="E189" i="14" s="1"/>
  <c r="T189" i="14"/>
  <c r="D189" i="14" s="1"/>
  <c r="W188" i="14"/>
  <c r="E188" i="14" s="1"/>
  <c r="T188" i="14"/>
  <c r="D188" i="14" s="1"/>
  <c r="W187" i="14"/>
  <c r="E187" i="14" s="1"/>
  <c r="T187" i="14"/>
  <c r="D187" i="14" s="1"/>
  <c r="W186" i="14"/>
  <c r="E186" i="14" s="1"/>
  <c r="T186" i="14"/>
  <c r="D186" i="14" s="1"/>
  <c r="W185" i="14"/>
  <c r="E185" i="14" s="1"/>
  <c r="T185" i="14"/>
  <c r="D185" i="14" s="1"/>
  <c r="W184" i="14"/>
  <c r="E184" i="14" s="1"/>
  <c r="T184" i="14"/>
  <c r="D184" i="14" s="1"/>
  <c r="W183" i="14"/>
  <c r="E183" i="14" s="1"/>
  <c r="T183" i="14"/>
  <c r="D183" i="14" s="1"/>
  <c r="W182" i="14"/>
  <c r="E182" i="14" s="1"/>
  <c r="T182" i="14"/>
  <c r="D182" i="14" s="1"/>
  <c r="W181" i="14"/>
  <c r="E181" i="14" s="1"/>
  <c r="T181" i="14"/>
  <c r="D181" i="14" s="1"/>
  <c r="W180" i="14"/>
  <c r="E180" i="14" s="1"/>
  <c r="T180" i="14"/>
  <c r="D180" i="14" s="1"/>
  <c r="W179" i="14"/>
  <c r="E179" i="14" s="1"/>
  <c r="T179" i="14"/>
  <c r="D179" i="14" s="1"/>
  <c r="W178" i="14"/>
  <c r="E178" i="14" s="1"/>
  <c r="T178" i="14"/>
  <c r="D178" i="14" s="1"/>
  <c r="W177" i="14"/>
  <c r="E177" i="14" s="1"/>
  <c r="T177" i="14"/>
  <c r="D177" i="14" s="1"/>
  <c r="W176" i="14"/>
  <c r="E176" i="14" s="1"/>
  <c r="T176" i="14"/>
  <c r="D176" i="14" s="1"/>
  <c r="W175" i="14"/>
  <c r="E175" i="14" s="1"/>
  <c r="T175" i="14"/>
  <c r="D175" i="14" s="1"/>
  <c r="W174" i="14"/>
  <c r="E174" i="14" s="1"/>
  <c r="T174" i="14"/>
  <c r="D174" i="14" s="1"/>
  <c r="W173" i="14"/>
  <c r="E173" i="14" s="1"/>
  <c r="T173" i="14"/>
  <c r="D173" i="14" s="1"/>
  <c r="W172" i="14"/>
  <c r="E172" i="14" s="1"/>
  <c r="T172" i="14"/>
  <c r="D172" i="14" s="1"/>
  <c r="W171" i="14"/>
  <c r="E171" i="14" s="1"/>
  <c r="T171" i="14"/>
  <c r="D171" i="14" s="1"/>
  <c r="H254" i="15"/>
  <c r="W170" i="14"/>
  <c r="E170" i="14" s="1"/>
  <c r="T170" i="14"/>
  <c r="D170" i="14" s="1"/>
  <c r="W169" i="14"/>
  <c r="E169" i="14" s="1"/>
  <c r="T169" i="14"/>
  <c r="D169" i="14" s="1"/>
  <c r="W168" i="14"/>
  <c r="E168" i="14" s="1"/>
  <c r="T168" i="14"/>
  <c r="D168" i="14" s="1"/>
  <c r="W167" i="14"/>
  <c r="E167" i="14" s="1"/>
  <c r="T167" i="14"/>
  <c r="D167" i="14" s="1"/>
  <c r="W166" i="14"/>
  <c r="E166" i="14" s="1"/>
  <c r="T166" i="14"/>
  <c r="D166" i="14" s="1"/>
  <c r="W165" i="14"/>
  <c r="E165" i="14" s="1"/>
  <c r="T165" i="14"/>
  <c r="D165" i="14" s="1"/>
  <c r="W164" i="14"/>
  <c r="E164" i="14" s="1"/>
  <c r="T164" i="14"/>
  <c r="D164" i="14" s="1"/>
  <c r="W163" i="14"/>
  <c r="E163" i="14" s="1"/>
  <c r="T163" i="14"/>
  <c r="D163" i="14" s="1"/>
  <c r="W162" i="14"/>
  <c r="E162" i="14" s="1"/>
  <c r="T162" i="14"/>
  <c r="D162" i="14" s="1"/>
  <c r="W161" i="14"/>
  <c r="E161" i="14" s="1"/>
  <c r="T161" i="14"/>
  <c r="D161" i="14" s="1"/>
  <c r="W160" i="14"/>
  <c r="E160" i="14" s="1"/>
  <c r="T160" i="14"/>
  <c r="D160" i="14" s="1"/>
  <c r="W159" i="14"/>
  <c r="E159" i="14" s="1"/>
  <c r="T159" i="14"/>
  <c r="D159" i="14" s="1"/>
  <c r="W158" i="14"/>
  <c r="E158" i="14" s="1"/>
  <c r="T158" i="14"/>
  <c r="D158" i="14" s="1"/>
  <c r="W157" i="14"/>
  <c r="E157" i="14" s="1"/>
  <c r="T157" i="14"/>
  <c r="D157" i="14" s="1"/>
  <c r="W156" i="14"/>
  <c r="E156" i="14" s="1"/>
  <c r="T156" i="14"/>
  <c r="D156" i="14" s="1"/>
  <c r="W155" i="14"/>
  <c r="E155" i="14" s="1"/>
  <c r="T155" i="14"/>
  <c r="D155" i="14" s="1"/>
  <c r="W154" i="14"/>
  <c r="E154" i="14" s="1"/>
  <c r="T154" i="14"/>
  <c r="D154" i="14" s="1"/>
  <c r="W153" i="14"/>
  <c r="E153" i="14" s="1"/>
  <c r="T153" i="14"/>
  <c r="D153" i="14" s="1"/>
  <c r="W152" i="14"/>
  <c r="E152" i="14" s="1"/>
  <c r="T152" i="14"/>
  <c r="D152" i="14" s="1"/>
  <c r="W151" i="14"/>
  <c r="E151" i="14" s="1"/>
  <c r="D151" i="14"/>
  <c r="W150" i="14"/>
  <c r="E150" i="14" s="1"/>
  <c r="T150" i="14"/>
  <c r="D150" i="14" s="1"/>
  <c r="W149" i="14"/>
  <c r="E149" i="14" s="1"/>
  <c r="T149" i="14"/>
  <c r="D149" i="14" s="1"/>
  <c r="W148" i="14"/>
  <c r="E148" i="14" s="1"/>
  <c r="T148" i="14"/>
  <c r="D148" i="14" s="1"/>
  <c r="W147" i="14"/>
  <c r="E147" i="14" s="1"/>
  <c r="T147" i="14"/>
  <c r="D147" i="14" s="1"/>
  <c r="W146" i="14"/>
  <c r="E146" i="14" s="1"/>
  <c r="T146" i="14"/>
  <c r="D146" i="14" s="1"/>
  <c r="W145" i="14"/>
  <c r="E145" i="14" s="1"/>
  <c r="T145" i="14"/>
  <c r="D145" i="14" s="1"/>
  <c r="W144" i="14"/>
  <c r="E144" i="14" s="1"/>
  <c r="D144" i="14"/>
  <c r="W143" i="14"/>
  <c r="E143" i="14" s="1"/>
  <c r="T143" i="14"/>
  <c r="D143" i="14" s="1"/>
  <c r="W142" i="14"/>
  <c r="E142" i="14" s="1"/>
  <c r="T142" i="14"/>
  <c r="D142" i="14" s="1"/>
  <c r="W141" i="14"/>
  <c r="E141" i="14" s="1"/>
  <c r="T141" i="14"/>
  <c r="D141" i="14" s="1"/>
  <c r="W140" i="14"/>
  <c r="E140" i="14" s="1"/>
  <c r="T140" i="14"/>
  <c r="D140" i="14" s="1"/>
  <c r="W139" i="14"/>
  <c r="E139" i="14" s="1"/>
  <c r="T139" i="14"/>
  <c r="D139" i="14" s="1"/>
  <c r="W138" i="14"/>
  <c r="E138" i="14" s="1"/>
  <c r="T138" i="14"/>
  <c r="D138" i="14" s="1"/>
  <c r="W137" i="14"/>
  <c r="E137" i="14" s="1"/>
  <c r="T137" i="14"/>
  <c r="D137" i="14" s="1"/>
  <c r="W136" i="14"/>
  <c r="E136" i="14" s="1"/>
  <c r="T136" i="14"/>
  <c r="D136" i="14" s="1"/>
  <c r="W135" i="14"/>
  <c r="E135" i="14" s="1"/>
  <c r="T135" i="14"/>
  <c r="D135" i="14" s="1"/>
  <c r="W134" i="14"/>
  <c r="E134" i="14" s="1"/>
  <c r="T134" i="14"/>
  <c r="D134" i="14" s="1"/>
  <c r="W133" i="14"/>
  <c r="E133" i="14" s="1"/>
  <c r="T133" i="14"/>
  <c r="D133" i="14" s="1"/>
  <c r="W132" i="14"/>
  <c r="E132" i="14" s="1"/>
  <c r="T132" i="14"/>
  <c r="D132" i="14" s="1"/>
  <c r="W131" i="14"/>
  <c r="E131" i="14" s="1"/>
  <c r="T131" i="14"/>
  <c r="D131" i="14" s="1"/>
  <c r="W130" i="14"/>
  <c r="E130" i="14" s="1"/>
  <c r="T130" i="14"/>
  <c r="D130" i="14" s="1"/>
  <c r="W129" i="14"/>
  <c r="E129" i="14" s="1"/>
  <c r="T129" i="14"/>
  <c r="D129" i="14" s="1"/>
  <c r="W128" i="14"/>
  <c r="E128" i="14" s="1"/>
  <c r="T128" i="14"/>
  <c r="D128" i="14" s="1"/>
  <c r="W127" i="14"/>
  <c r="E127" i="14" s="1"/>
  <c r="T127" i="14"/>
  <c r="D127" i="14" s="1"/>
  <c r="W126" i="14"/>
  <c r="E126" i="14" s="1"/>
  <c r="T126" i="14"/>
  <c r="D126" i="14" s="1"/>
  <c r="W125" i="14"/>
  <c r="E125" i="14" s="1"/>
  <c r="T125" i="14"/>
  <c r="D125" i="14" s="1"/>
  <c r="W124" i="14"/>
  <c r="E124" i="14" s="1"/>
  <c r="T124" i="14"/>
  <c r="D124" i="14" s="1"/>
  <c r="W123" i="14"/>
  <c r="E123" i="14" s="1"/>
  <c r="T123" i="14"/>
  <c r="D123" i="14" s="1"/>
  <c r="W122" i="14"/>
  <c r="E122" i="14" s="1"/>
  <c r="T122" i="14"/>
  <c r="D122" i="14" s="1"/>
  <c r="W121" i="14"/>
  <c r="E121" i="14" s="1"/>
  <c r="T121" i="14"/>
  <c r="D121" i="14" s="1"/>
  <c r="W120" i="14"/>
  <c r="E120" i="14" s="1"/>
  <c r="T120" i="14"/>
  <c r="D120" i="14" s="1"/>
  <c r="W119" i="14"/>
  <c r="E119" i="14" s="1"/>
  <c r="T119" i="14"/>
  <c r="D119" i="14" s="1"/>
  <c r="W118" i="14"/>
  <c r="E118" i="14" s="1"/>
  <c r="T118" i="14"/>
  <c r="D118" i="14" s="1"/>
  <c r="W117" i="14"/>
  <c r="E117" i="14" s="1"/>
  <c r="T117" i="14"/>
  <c r="D117" i="14" s="1"/>
  <c r="W116" i="14"/>
  <c r="E116" i="14" s="1"/>
  <c r="T116" i="14"/>
  <c r="D116" i="14" s="1"/>
  <c r="W115" i="14"/>
  <c r="E115" i="14" s="1"/>
  <c r="T115" i="14"/>
  <c r="D115" i="14" s="1"/>
  <c r="W114" i="14"/>
  <c r="E114" i="14" s="1"/>
  <c r="T114" i="14"/>
  <c r="D114" i="14" s="1"/>
  <c r="W113" i="14"/>
  <c r="E113" i="14" s="1"/>
  <c r="T113" i="14"/>
  <c r="D113" i="14" s="1"/>
  <c r="W112" i="14"/>
  <c r="E112" i="14" s="1"/>
  <c r="T112" i="14"/>
  <c r="D112" i="14" s="1"/>
  <c r="W111" i="14"/>
  <c r="E111" i="14" s="1"/>
  <c r="T111" i="14"/>
  <c r="D111" i="14" s="1"/>
  <c r="W110" i="14"/>
  <c r="E110" i="14" s="1"/>
  <c r="T110" i="14"/>
  <c r="D110" i="14" s="1"/>
  <c r="W109" i="14"/>
  <c r="E109" i="14" s="1"/>
  <c r="T109" i="14"/>
  <c r="D109" i="14" s="1"/>
  <c r="W108" i="14"/>
  <c r="E108" i="14" s="1"/>
  <c r="T108" i="14"/>
  <c r="D108" i="14" s="1"/>
  <c r="W107" i="14"/>
  <c r="E107" i="14" s="1"/>
  <c r="T107" i="14"/>
  <c r="D107" i="14" s="1"/>
  <c r="W106" i="14"/>
  <c r="E106" i="14" s="1"/>
  <c r="T106" i="14"/>
  <c r="D106" i="14" s="1"/>
  <c r="W105" i="14"/>
  <c r="E105" i="14" s="1"/>
  <c r="T105" i="14"/>
  <c r="D105" i="14" s="1"/>
  <c r="W104" i="14"/>
  <c r="E104" i="14" s="1"/>
  <c r="T104" i="14"/>
  <c r="D104" i="14" s="1"/>
  <c r="W103" i="14"/>
  <c r="E103" i="14" s="1"/>
  <c r="T103" i="14"/>
  <c r="D103" i="14" s="1"/>
  <c r="W102" i="14"/>
  <c r="E102" i="14" s="1"/>
  <c r="T102" i="14"/>
  <c r="D102" i="14" s="1"/>
  <c r="W101" i="14"/>
  <c r="E101" i="14" s="1"/>
  <c r="T101" i="14"/>
  <c r="D101" i="14" s="1"/>
  <c r="W100" i="14"/>
  <c r="E100" i="14" s="1"/>
  <c r="T100" i="14"/>
  <c r="D100" i="14" s="1"/>
  <c r="W99" i="14"/>
  <c r="E99" i="14" s="1"/>
  <c r="T99" i="14"/>
  <c r="D99" i="14" s="1"/>
  <c r="W98" i="14"/>
  <c r="E98" i="14" s="1"/>
  <c r="T98" i="14"/>
  <c r="D98" i="14" s="1"/>
  <c r="W97" i="14"/>
  <c r="E97" i="14" s="1"/>
  <c r="T97" i="14"/>
  <c r="D97" i="14" s="1"/>
  <c r="W96" i="14"/>
  <c r="E96" i="14" s="1"/>
  <c r="T96" i="14"/>
  <c r="D96" i="14" s="1"/>
  <c r="W95" i="14"/>
  <c r="E95" i="14" s="1"/>
  <c r="T95" i="14"/>
  <c r="D95" i="14" s="1"/>
  <c r="W94" i="14"/>
  <c r="E94" i="14" s="1"/>
  <c r="T94" i="14"/>
  <c r="D94" i="14" s="1"/>
  <c r="W93" i="14"/>
  <c r="E93" i="14" s="1"/>
  <c r="T93" i="14"/>
  <c r="D93" i="14" s="1"/>
  <c r="W92" i="14"/>
  <c r="E92" i="14" s="1"/>
  <c r="T92" i="14"/>
  <c r="D92" i="14" s="1"/>
  <c r="W91" i="14"/>
  <c r="E91" i="14" s="1"/>
  <c r="T91" i="14"/>
  <c r="D91" i="14" s="1"/>
  <c r="W90" i="14"/>
  <c r="E90" i="14" s="1"/>
  <c r="T90" i="14"/>
  <c r="D90" i="14" s="1"/>
  <c r="W89" i="14"/>
  <c r="E89" i="14" s="1"/>
  <c r="T89" i="14"/>
  <c r="D89" i="14" s="1"/>
  <c r="W88" i="14"/>
  <c r="E88" i="14" s="1"/>
  <c r="T88" i="14"/>
  <c r="D88" i="14" s="1"/>
  <c r="W87" i="14"/>
  <c r="E87" i="14" s="1"/>
  <c r="T87" i="14"/>
  <c r="D87" i="14" s="1"/>
  <c r="W86" i="14"/>
  <c r="E86" i="14" s="1"/>
  <c r="T86" i="14"/>
  <c r="D86" i="14" s="1"/>
  <c r="W85" i="14"/>
  <c r="E85" i="14" s="1"/>
  <c r="T85" i="14"/>
  <c r="D85" i="14" s="1"/>
  <c r="W84" i="14"/>
  <c r="E84" i="14" s="1"/>
  <c r="T84" i="14"/>
  <c r="D84" i="14" s="1"/>
  <c r="W83" i="14"/>
  <c r="E83" i="14" s="1"/>
  <c r="T83" i="14"/>
  <c r="D83" i="14" s="1"/>
  <c r="W82" i="14"/>
  <c r="E82" i="14" s="1"/>
  <c r="T82" i="14"/>
  <c r="D82" i="14" s="1"/>
  <c r="W81" i="14"/>
  <c r="E81" i="14" s="1"/>
  <c r="T81" i="14"/>
  <c r="D81" i="14" s="1"/>
  <c r="W80" i="14"/>
  <c r="E80" i="14" s="1"/>
  <c r="T80" i="14"/>
  <c r="D80" i="14" s="1"/>
  <c r="W79" i="14"/>
  <c r="E79" i="14" s="1"/>
  <c r="T79" i="14"/>
  <c r="D79" i="14" s="1"/>
  <c r="W78" i="14"/>
  <c r="E78" i="14" s="1"/>
  <c r="T78" i="14"/>
  <c r="D78" i="14" s="1"/>
  <c r="W77" i="14"/>
  <c r="E77" i="14" s="1"/>
  <c r="T77" i="14"/>
  <c r="D77" i="14" s="1"/>
  <c r="W76" i="14"/>
  <c r="E76" i="14" s="1"/>
  <c r="T76" i="14"/>
  <c r="D76" i="14" s="1"/>
  <c r="W75" i="14"/>
  <c r="E75" i="14" s="1"/>
  <c r="T75" i="14"/>
  <c r="D75" i="14" s="1"/>
  <c r="W74" i="14"/>
  <c r="E74" i="14" s="1"/>
  <c r="T74" i="14"/>
  <c r="D74" i="14" s="1"/>
  <c r="W73" i="14"/>
  <c r="E73" i="14" s="1"/>
  <c r="T73" i="14"/>
  <c r="D73" i="14" s="1"/>
  <c r="W72" i="14"/>
  <c r="E72" i="14" s="1"/>
  <c r="T72" i="14"/>
  <c r="D72" i="14" s="1"/>
  <c r="W71" i="14"/>
  <c r="E71" i="14" s="1"/>
  <c r="T71" i="14"/>
  <c r="D71" i="14" s="1"/>
  <c r="W70" i="14"/>
  <c r="E70" i="14" s="1"/>
  <c r="T70" i="14"/>
  <c r="D70" i="14" s="1"/>
  <c r="W69" i="14"/>
  <c r="E69" i="14" s="1"/>
  <c r="T69" i="14"/>
  <c r="D69" i="14" s="1"/>
  <c r="W68" i="14"/>
  <c r="E68" i="14" s="1"/>
  <c r="T68" i="14"/>
  <c r="D68" i="14" s="1"/>
  <c r="W67" i="14"/>
  <c r="E67" i="14" s="1"/>
  <c r="T67" i="14"/>
  <c r="D67" i="14" s="1"/>
  <c r="W66" i="14"/>
  <c r="E66" i="14" s="1"/>
  <c r="T66" i="14"/>
  <c r="D66" i="14" s="1"/>
  <c r="W64" i="14"/>
  <c r="E64" i="14" s="1"/>
  <c r="T64" i="14"/>
  <c r="D64" i="14" s="1"/>
  <c r="W63" i="14"/>
  <c r="E63" i="14" s="1"/>
  <c r="T63" i="14"/>
  <c r="D63" i="14" s="1"/>
  <c r="W62" i="14"/>
  <c r="E62" i="14" s="1"/>
  <c r="T62" i="14"/>
  <c r="D62" i="14" s="1"/>
  <c r="W61" i="14"/>
  <c r="E61" i="14" s="1"/>
  <c r="T61" i="14"/>
  <c r="D61" i="14" s="1"/>
  <c r="W60" i="14"/>
  <c r="E60" i="14" s="1"/>
  <c r="T60" i="14"/>
  <c r="D60" i="14" s="1"/>
  <c r="W59" i="14"/>
  <c r="E59" i="14" s="1"/>
  <c r="T59" i="14"/>
  <c r="D59" i="14" s="1"/>
  <c r="W58" i="14"/>
  <c r="E58" i="14" s="1"/>
  <c r="T58" i="14"/>
  <c r="D58" i="14" s="1"/>
  <c r="W57" i="14"/>
  <c r="E57" i="14" s="1"/>
  <c r="T57" i="14"/>
  <c r="D57" i="14" s="1"/>
  <c r="W56" i="14"/>
  <c r="E56" i="14" s="1"/>
  <c r="T56" i="14"/>
  <c r="D56" i="14" s="1"/>
  <c r="W55" i="14"/>
  <c r="E55" i="14" s="1"/>
  <c r="T55" i="14"/>
  <c r="D55" i="14" s="1"/>
  <c r="W54" i="14"/>
  <c r="E54" i="14" s="1"/>
  <c r="T54" i="14"/>
  <c r="D54" i="14" s="1"/>
  <c r="W53" i="14"/>
  <c r="E53" i="14" s="1"/>
  <c r="T53" i="14"/>
  <c r="D53" i="14" s="1"/>
  <c r="W52" i="14"/>
  <c r="E52" i="14" s="1"/>
  <c r="T52" i="14"/>
  <c r="D52" i="14" s="1"/>
  <c r="W51" i="14"/>
  <c r="E51" i="14" s="1"/>
  <c r="T51" i="14"/>
  <c r="D51" i="14" s="1"/>
  <c r="W50" i="14"/>
  <c r="E50" i="14" s="1"/>
  <c r="T50" i="14"/>
  <c r="D50" i="14" s="1"/>
  <c r="W49" i="14"/>
  <c r="E49" i="14" s="1"/>
  <c r="T49" i="14"/>
  <c r="D49" i="14" s="1"/>
  <c r="W48" i="14"/>
  <c r="E48" i="14" s="1"/>
  <c r="T48" i="14"/>
  <c r="D48" i="14" s="1"/>
  <c r="W47" i="14"/>
  <c r="E47" i="14" s="1"/>
  <c r="T47" i="14"/>
  <c r="D47" i="14" s="1"/>
  <c r="W46" i="14"/>
  <c r="E46" i="14" s="1"/>
  <c r="T46" i="14"/>
  <c r="D46" i="14" s="1"/>
  <c r="W45" i="14"/>
  <c r="E45" i="14" s="1"/>
  <c r="T45" i="14"/>
  <c r="D45" i="14" s="1"/>
  <c r="W44" i="14"/>
  <c r="E44" i="14" s="1"/>
  <c r="T44" i="14"/>
  <c r="D44" i="14" s="1"/>
  <c r="W43" i="14"/>
  <c r="E43" i="14" s="1"/>
  <c r="T43" i="14"/>
  <c r="D43" i="14" s="1"/>
  <c r="W42" i="14"/>
  <c r="E42" i="14" s="1"/>
  <c r="T42" i="14"/>
  <c r="D42" i="14" s="1"/>
  <c r="W41" i="14"/>
  <c r="E41" i="14" s="1"/>
  <c r="T41" i="14"/>
  <c r="D41" i="14" s="1"/>
  <c r="W40" i="14"/>
  <c r="E40" i="14" s="1"/>
  <c r="T40" i="14"/>
  <c r="D40" i="14" s="1"/>
  <c r="W39" i="14"/>
  <c r="E39" i="14" s="1"/>
  <c r="T39" i="14"/>
  <c r="D39" i="14" s="1"/>
  <c r="W38" i="14"/>
  <c r="E38" i="14" s="1"/>
  <c r="T38" i="14"/>
  <c r="D38" i="14" s="1"/>
  <c r="W37" i="14"/>
  <c r="E37" i="14" s="1"/>
  <c r="T37" i="14"/>
  <c r="D37" i="14" s="1"/>
  <c r="W36" i="14"/>
  <c r="E36" i="14" s="1"/>
  <c r="T36" i="14"/>
  <c r="D36" i="14" s="1"/>
  <c r="W35" i="14"/>
  <c r="E35" i="14" s="1"/>
  <c r="T35" i="14"/>
  <c r="D35" i="14" s="1"/>
  <c r="W34" i="14"/>
  <c r="E34" i="14" s="1"/>
  <c r="T34" i="14"/>
  <c r="D34" i="14" s="1"/>
  <c r="W33" i="14"/>
  <c r="E33" i="14" s="1"/>
  <c r="T33" i="14"/>
  <c r="D33" i="14" s="1"/>
  <c r="W32" i="14"/>
  <c r="E32" i="14" s="1"/>
  <c r="T32" i="14"/>
  <c r="D32" i="14" s="1"/>
  <c r="W31" i="14"/>
  <c r="E31" i="14" s="1"/>
  <c r="T31" i="14"/>
  <c r="D31" i="14" s="1"/>
  <c r="W30" i="14"/>
  <c r="E30" i="14" s="1"/>
  <c r="T30" i="14"/>
  <c r="D30" i="14" s="1"/>
  <c r="W29" i="14"/>
  <c r="E29" i="14" s="1"/>
  <c r="T29" i="14"/>
  <c r="D29" i="14" s="1"/>
  <c r="W28" i="14"/>
  <c r="E28" i="14" s="1"/>
  <c r="T28" i="14"/>
  <c r="D28" i="14" s="1"/>
  <c r="W27" i="14"/>
  <c r="E27" i="14" s="1"/>
  <c r="T27" i="14"/>
  <c r="D27" i="14" s="1"/>
  <c r="W26" i="14"/>
  <c r="E26" i="14" s="1"/>
  <c r="T26" i="14"/>
  <c r="D26" i="14" s="1"/>
  <c r="W25" i="14"/>
  <c r="E25" i="14" s="1"/>
  <c r="T25" i="14"/>
  <c r="D25" i="14" s="1"/>
  <c r="W24" i="14"/>
  <c r="E24" i="14" s="1"/>
  <c r="T24" i="14"/>
  <c r="D24" i="14" s="1"/>
  <c r="W23" i="14"/>
  <c r="E23" i="14" s="1"/>
  <c r="T23" i="14"/>
  <c r="D23" i="14" s="1"/>
  <c r="T250" i="14"/>
  <c r="A250" i="14" s="1"/>
  <c r="T248" i="14"/>
  <c r="A248" i="14" s="1"/>
  <c r="T244" i="14"/>
  <c r="A244" i="14" s="1"/>
  <c r="T242" i="14"/>
  <c r="A242" i="14" s="1"/>
  <c r="T246" i="14"/>
  <c r="D246" i="14" s="1"/>
  <c r="T245" i="14"/>
  <c r="D245" i="14" s="1"/>
  <c r="T243" i="14"/>
  <c r="D243" i="14" s="1"/>
  <c r="W255" i="14"/>
  <c r="T255" i="14"/>
  <c r="W254" i="14"/>
  <c r="T254" i="14"/>
  <c r="W253" i="14"/>
  <c r="T253" i="14"/>
  <c r="W252" i="14"/>
  <c r="T252" i="14"/>
  <c r="W251" i="14"/>
  <c r="T251" i="14"/>
  <c r="W250" i="14"/>
  <c r="W249" i="14"/>
  <c r="T249" i="14"/>
  <c r="W248" i="14"/>
  <c r="W247" i="14"/>
  <c r="T247" i="14"/>
  <c r="W246" i="14"/>
  <c r="W245" i="14"/>
  <c r="W244" i="14"/>
  <c r="W243" i="14"/>
  <c r="W242" i="14"/>
  <c r="W241" i="14"/>
  <c r="T241" i="14"/>
  <c r="W227" i="14"/>
  <c r="T227" i="14"/>
  <c r="W22" i="14"/>
  <c r="T22" i="14"/>
  <c r="W20" i="14"/>
  <c r="T20" i="14"/>
  <c r="W19" i="14"/>
  <c r="T19" i="14"/>
  <c r="W18" i="14"/>
  <c r="T18" i="14"/>
  <c r="A18" i="14" s="1"/>
  <c r="W17" i="14"/>
  <c r="T17" i="14"/>
  <c r="A17" i="14" s="1"/>
  <c r="W16" i="14"/>
  <c r="T16" i="14"/>
  <c r="W15" i="14"/>
  <c r="T15" i="14"/>
  <c r="W14" i="14"/>
  <c r="T14" i="14"/>
  <c r="W13" i="14"/>
  <c r="T13" i="14"/>
  <c r="W12" i="14"/>
  <c r="T12" i="14"/>
  <c r="W11" i="14"/>
  <c r="T11" i="14"/>
  <c r="W10" i="14"/>
  <c r="T10" i="14"/>
  <c r="W9" i="14"/>
  <c r="T9" i="14"/>
  <c r="W8" i="14"/>
  <c r="T8" i="14"/>
  <c r="W7" i="14"/>
  <c r="T7" i="14"/>
  <c r="A7" i="14" s="1"/>
  <c r="W6" i="14"/>
  <c r="T6" i="14"/>
  <c r="W5" i="14"/>
  <c r="T5" i="14"/>
  <c r="B130" i="15"/>
  <c r="B135" i="15"/>
  <c r="B137" i="15"/>
  <c r="B139" i="15"/>
  <c r="B140" i="15"/>
  <c r="B153" i="15"/>
  <c r="B159" i="15"/>
  <c r="B160" i="15"/>
  <c r="B161" i="15"/>
  <c r="B163" i="15"/>
  <c r="B164" i="15"/>
  <c r="B169" i="15"/>
  <c r="B171" i="15"/>
  <c r="B188" i="15"/>
  <c r="B191" i="15"/>
  <c r="B193" i="15"/>
  <c r="B195" i="15"/>
  <c r="B196" i="15"/>
  <c r="B197" i="15"/>
  <c r="B199" i="15"/>
  <c r="B204" i="15"/>
  <c r="B206" i="15"/>
  <c r="B207" i="15"/>
  <c r="B210" i="15"/>
  <c r="B211" i="15"/>
  <c r="B212" i="15"/>
  <c r="B251" i="15"/>
  <c r="B266" i="15"/>
  <c r="B268" i="15"/>
  <c r="B270" i="15"/>
  <c r="B303" i="15"/>
  <c r="B306" i="15"/>
  <c r="B308" i="15"/>
  <c r="B310" i="15"/>
  <c r="A124" i="15"/>
  <c r="A125" i="15"/>
  <c r="A126" i="15"/>
  <c r="A127" i="15"/>
  <c r="A128" i="15"/>
  <c r="A129" i="15"/>
  <c r="A131" i="15"/>
  <c r="A134" i="15"/>
  <c r="A136" i="15"/>
  <c r="A141" i="15"/>
  <c r="A144" i="15"/>
  <c r="A145" i="15"/>
  <c r="A146" i="15"/>
  <c r="A148" i="15"/>
  <c r="A151" i="15"/>
  <c r="A154" i="15"/>
  <c r="A155" i="15"/>
  <c r="A156" i="15"/>
  <c r="A162" i="15"/>
  <c r="A165" i="15"/>
  <c r="A167" i="15"/>
  <c r="A168" i="15"/>
  <c r="A170" i="15"/>
  <c r="A173" i="15"/>
  <c r="A174" i="15"/>
  <c r="A175" i="15"/>
  <c r="A176" i="15"/>
  <c r="A177" i="15"/>
  <c r="A178" i="15"/>
  <c r="A179" i="15"/>
  <c r="A180" i="15"/>
  <c r="A181" i="15"/>
  <c r="A182" i="15"/>
  <c r="A183" i="15"/>
  <c r="A184" i="15"/>
  <c r="A185" i="15"/>
  <c r="A186" i="15"/>
  <c r="A187" i="15"/>
  <c r="A192" i="15"/>
  <c r="A200" i="15"/>
  <c r="A201" i="15"/>
  <c r="A202" i="15"/>
  <c r="A203" i="15"/>
  <c r="A205" i="15"/>
  <c r="A209" i="15"/>
  <c r="A216" i="15"/>
  <c r="A217" i="15"/>
  <c r="A218" i="15"/>
  <c r="A219" i="15"/>
  <c r="A220" i="15"/>
  <c r="A221" i="15"/>
  <c r="A222" i="15"/>
  <c r="A223" i="15"/>
  <c r="A224" i="15"/>
  <c r="A225" i="15"/>
  <c r="A227" i="15"/>
  <c r="A228" i="15"/>
  <c r="A230" i="15"/>
  <c r="A231" i="15"/>
  <c r="A232" i="15"/>
  <c r="A233" i="15"/>
  <c r="A235" i="15"/>
  <c r="A237" i="15"/>
  <c r="A239" i="15"/>
  <c r="A240" i="15"/>
  <c r="A243" i="15"/>
  <c r="A244" i="15"/>
  <c r="A245" i="15"/>
  <c r="A246" i="15"/>
  <c r="A247" i="15"/>
  <c r="A248" i="15"/>
  <c r="A249" i="15"/>
  <c r="A253" i="15"/>
  <c r="A255" i="15"/>
  <c r="A257" i="15"/>
  <c r="A258" i="15"/>
  <c r="A259" i="15"/>
  <c r="A261" i="15"/>
  <c r="A262" i="15"/>
  <c r="A263" i="15"/>
  <c r="A265" i="15"/>
  <c r="A272" i="15"/>
  <c r="A275" i="15"/>
  <c r="A276" i="15"/>
  <c r="A277" i="15"/>
  <c r="A278" i="15"/>
  <c r="A280" i="15"/>
  <c r="A281" i="15"/>
  <c r="A283" i="15"/>
  <c r="A285" i="15"/>
  <c r="A286" i="15"/>
  <c r="A288" i="15"/>
  <c r="A289" i="15"/>
  <c r="A292" i="15"/>
  <c r="A294" i="15"/>
  <c r="A297" i="15"/>
  <c r="A299" i="15"/>
  <c r="A301" i="15"/>
  <c r="D344" i="15"/>
  <c r="C344" i="15"/>
  <c r="B233" i="11"/>
  <c r="A233" i="11"/>
  <c r="A245" i="11"/>
  <c r="A246" i="14"/>
  <c r="D71" i="15"/>
  <c r="D69" i="15"/>
  <c r="A251" i="14"/>
  <c r="B247" i="11"/>
  <c r="A247" i="11"/>
  <c r="B237" i="11"/>
  <c r="A237" i="11"/>
  <c r="H256" i="15"/>
  <c r="H310" i="15"/>
  <c r="H309" i="15"/>
  <c r="H308" i="15"/>
  <c r="H307" i="15"/>
  <c r="H306" i="15"/>
  <c r="H305" i="15"/>
  <c r="H304" i="15"/>
  <c r="H303" i="15"/>
  <c r="H302" i="15"/>
  <c r="H301" i="15"/>
  <c r="H300" i="15"/>
  <c r="H299" i="15"/>
  <c r="H298" i="15"/>
  <c r="H297" i="15"/>
  <c r="H296" i="15"/>
  <c r="H295" i="15"/>
  <c r="H294" i="15"/>
  <c r="H293" i="15"/>
  <c r="H292" i="15"/>
  <c r="H291" i="15"/>
  <c r="H290" i="15"/>
  <c r="H289" i="15"/>
  <c r="H288" i="15"/>
  <c r="H287" i="15"/>
  <c r="H286" i="15"/>
  <c r="H285" i="15"/>
  <c r="H284" i="15"/>
  <c r="H283" i="15"/>
  <c r="H282" i="15"/>
  <c r="H281" i="15"/>
  <c r="H280" i="15"/>
  <c r="H279" i="15"/>
  <c r="H278" i="15"/>
  <c r="H277" i="15"/>
  <c r="H276" i="15"/>
  <c r="H275" i="15"/>
  <c r="H274" i="15"/>
  <c r="H273" i="15"/>
  <c r="H272" i="15"/>
  <c r="H271" i="15"/>
  <c r="H270" i="15"/>
  <c r="H269" i="15"/>
  <c r="H268" i="15"/>
  <c r="H267" i="15"/>
  <c r="H266" i="15"/>
  <c r="H265" i="15"/>
  <c r="H264" i="15"/>
  <c r="H263" i="15"/>
  <c r="H262" i="15"/>
  <c r="H261" i="15"/>
  <c r="H260" i="15"/>
  <c r="H259" i="15"/>
  <c r="H258" i="15"/>
  <c r="H257" i="15"/>
  <c r="H255" i="15"/>
  <c r="H253" i="15"/>
  <c r="H252" i="15"/>
  <c r="H251" i="15"/>
  <c r="H250" i="15"/>
  <c r="H249" i="15"/>
  <c r="H248" i="15"/>
  <c r="H247" i="15"/>
  <c r="H246" i="15"/>
  <c r="H245" i="15"/>
  <c r="H244" i="15"/>
  <c r="H243" i="15"/>
  <c r="H242" i="15"/>
  <c r="H241" i="15"/>
  <c r="H240" i="15"/>
  <c r="H239" i="15"/>
  <c r="H238" i="15"/>
  <c r="H237" i="15"/>
  <c r="H236" i="15"/>
  <c r="H235" i="15"/>
  <c r="H234" i="15"/>
  <c r="H233" i="15"/>
  <c r="H232" i="15"/>
  <c r="H231" i="15"/>
  <c r="H230" i="15"/>
  <c r="H229" i="15"/>
  <c r="H228" i="15"/>
  <c r="H227" i="15"/>
  <c r="H226" i="15"/>
  <c r="H225" i="15"/>
  <c r="H224" i="15"/>
  <c r="H223" i="15"/>
  <c r="H222" i="15"/>
  <c r="H221" i="15"/>
  <c r="H220" i="15"/>
  <c r="H219" i="15"/>
  <c r="H218" i="15"/>
  <c r="H217" i="15"/>
  <c r="H216" i="15"/>
  <c r="H215" i="15"/>
  <c r="H214" i="15"/>
  <c r="H213" i="15"/>
  <c r="H212" i="15"/>
  <c r="H211" i="15"/>
  <c r="H210" i="15"/>
  <c r="H209" i="15"/>
  <c r="H208" i="15"/>
  <c r="H207" i="15"/>
  <c r="H206" i="15"/>
  <c r="H205" i="15"/>
  <c r="H204" i="15"/>
  <c r="H203" i="15"/>
  <c r="H202" i="15"/>
  <c r="H201" i="15"/>
  <c r="H200" i="15"/>
  <c r="H199" i="15"/>
  <c r="H198" i="15"/>
  <c r="H197" i="15"/>
  <c r="H196" i="15"/>
  <c r="H195" i="15"/>
  <c r="H194" i="15"/>
  <c r="H193" i="15"/>
  <c r="H192" i="15"/>
  <c r="H191" i="15"/>
  <c r="H190" i="15"/>
  <c r="H189" i="15"/>
  <c r="H188" i="15"/>
  <c r="H187" i="15"/>
  <c r="H186" i="15"/>
  <c r="H185" i="15"/>
  <c r="H184" i="15"/>
  <c r="H183" i="15"/>
  <c r="H182" i="15"/>
  <c r="H181" i="15"/>
  <c r="H180" i="15"/>
  <c r="H179" i="15"/>
  <c r="H178" i="15"/>
  <c r="H177" i="15"/>
  <c r="H176" i="15"/>
  <c r="H175" i="15"/>
  <c r="H174" i="15"/>
  <c r="H173" i="15"/>
  <c r="H172" i="15"/>
  <c r="H171" i="15"/>
  <c r="H170" i="15"/>
  <c r="H169" i="15"/>
  <c r="H168" i="15"/>
  <c r="H167" i="15"/>
  <c r="H166" i="15"/>
  <c r="H165" i="15"/>
  <c r="H164" i="15"/>
  <c r="H163" i="15"/>
  <c r="H162" i="15"/>
  <c r="H161" i="15"/>
  <c r="H160" i="15"/>
  <c r="H159" i="15"/>
  <c r="H158" i="15"/>
  <c r="H157" i="15"/>
  <c r="H156" i="15"/>
  <c r="H155" i="15"/>
  <c r="H153" i="15"/>
  <c r="H152" i="15"/>
  <c r="H151" i="15"/>
  <c r="H150" i="15"/>
  <c r="H148" i="15"/>
  <c r="H147" i="15"/>
  <c r="H146" i="15"/>
  <c r="H145" i="15"/>
  <c r="H144" i="15"/>
  <c r="H143" i="15"/>
  <c r="H142" i="15"/>
  <c r="H141" i="15"/>
  <c r="H140" i="15"/>
  <c r="H139" i="15"/>
  <c r="H138" i="15"/>
  <c r="H136" i="15"/>
  <c r="H135" i="15"/>
  <c r="H134" i="15"/>
  <c r="H133" i="15"/>
  <c r="H132" i="15"/>
  <c r="H131" i="15"/>
  <c r="H130" i="15"/>
  <c r="H129" i="15"/>
  <c r="H128" i="15"/>
  <c r="H127" i="15"/>
  <c r="H126" i="15"/>
  <c r="H124" i="15"/>
  <c r="AC113" i="15"/>
  <c r="F113" i="15" s="1"/>
  <c r="K113" i="15" s="1"/>
  <c r="AC119" i="15"/>
  <c r="F119" i="15" s="1"/>
  <c r="K119" i="15" s="1"/>
  <c r="AC121" i="15"/>
  <c r="F121" i="15" s="1"/>
  <c r="K121" i="15" s="1"/>
  <c r="AC123" i="15"/>
  <c r="F123" i="15" s="1"/>
  <c r="K123" i="15" s="1"/>
  <c r="AC125" i="15"/>
  <c r="F125" i="15" s="1"/>
  <c r="K125" i="15" s="1"/>
  <c r="AC127" i="15"/>
  <c r="F127" i="15" s="1"/>
  <c r="K127" i="15" s="1"/>
  <c r="AC131" i="15"/>
  <c r="F131" i="15" s="1"/>
  <c r="K131" i="15" s="1"/>
  <c r="AC133" i="15"/>
  <c r="F133" i="15" s="1"/>
  <c r="K133" i="15" s="1"/>
  <c r="AC137" i="15"/>
  <c r="F137" i="15" s="1"/>
  <c r="K137" i="15" s="1"/>
  <c r="AC143" i="15"/>
  <c r="F143" i="15" s="1"/>
  <c r="K143" i="15" s="1"/>
  <c r="AC145" i="15"/>
  <c r="F145" i="15" s="1"/>
  <c r="K145" i="15" s="1"/>
  <c r="AC147" i="15"/>
  <c r="F147" i="15" s="1"/>
  <c r="K147" i="15" s="1"/>
  <c r="AC150" i="15"/>
  <c r="F150" i="15" s="1"/>
  <c r="K150" i="15" s="1"/>
  <c r="AC152" i="15"/>
  <c r="F152" i="15" s="1"/>
  <c r="K152" i="15" s="1"/>
  <c r="AC154" i="15"/>
  <c r="F154" i="15" s="1"/>
  <c r="K154" i="15" s="1"/>
  <c r="AC156" i="15"/>
  <c r="F156" i="15" s="1"/>
  <c r="K156" i="15" s="1"/>
  <c r="AC158" i="15"/>
  <c r="F158" i="15" s="1"/>
  <c r="K158" i="15" s="1"/>
  <c r="AC162" i="15"/>
  <c r="AC164" i="15"/>
  <c r="F164" i="15" s="1"/>
  <c r="K164" i="15" s="1"/>
  <c r="AC168" i="15"/>
  <c r="F168" i="15" s="1"/>
  <c r="K168" i="15" s="1"/>
  <c r="AC170" i="15"/>
  <c r="F170" i="15" s="1"/>
  <c r="K170" i="15" s="1"/>
  <c r="AC174" i="15"/>
  <c r="F174" i="15" s="1"/>
  <c r="K174" i="15" s="1"/>
  <c r="AC176" i="15"/>
  <c r="F176" i="15" s="1"/>
  <c r="K176" i="15" s="1"/>
  <c r="AC178" i="15"/>
  <c r="F178" i="15" s="1"/>
  <c r="K178" i="15" s="1"/>
  <c r="AC180" i="15"/>
  <c r="F180" i="15" s="1"/>
  <c r="K180" i="15" s="1"/>
  <c r="AC182" i="15"/>
  <c r="F182" i="15" s="1"/>
  <c r="K182" i="15" s="1"/>
  <c r="AC186" i="15"/>
  <c r="F186" i="15" s="1"/>
  <c r="K186" i="15" s="1"/>
  <c r="AC188" i="15"/>
  <c r="F188" i="15" s="1"/>
  <c r="K188" i="15" s="1"/>
  <c r="AC192" i="15"/>
  <c r="F192" i="15" s="1"/>
  <c r="K192" i="15" s="1"/>
  <c r="AC194" i="15"/>
  <c r="F194" i="15" s="1"/>
  <c r="K194" i="15" s="1"/>
  <c r="AC198" i="15"/>
  <c r="F198" i="15" s="1"/>
  <c r="K198" i="15" s="1"/>
  <c r="AC200" i="15"/>
  <c r="F200" i="15" s="1"/>
  <c r="K200" i="15" s="1"/>
  <c r="AC204" i="15"/>
  <c r="F204" i="15" s="1"/>
  <c r="K204" i="15" s="1"/>
  <c r="AC206" i="15"/>
  <c r="F206" i="15" s="1"/>
  <c r="K206" i="15" s="1"/>
  <c r="AC212" i="15"/>
  <c r="F212" i="15" s="1"/>
  <c r="K212" i="15" s="1"/>
  <c r="AC216" i="15"/>
  <c r="F216" i="15" s="1"/>
  <c r="K216" i="15" s="1"/>
  <c r="AC218" i="15"/>
  <c r="F218" i="15" s="1"/>
  <c r="K218" i="15" s="1"/>
  <c r="AC220" i="15"/>
  <c r="F220" i="15" s="1"/>
  <c r="K220" i="15" s="1"/>
  <c r="AC222" i="15"/>
  <c r="F222" i="15" s="1"/>
  <c r="K222" i="15" s="1"/>
  <c r="AC224" i="15"/>
  <c r="F224" i="15" s="1"/>
  <c r="K224" i="15" s="1"/>
  <c r="AC226" i="15"/>
  <c r="F226" i="15" s="1"/>
  <c r="K226" i="15" s="1"/>
  <c r="AC228" i="15"/>
  <c r="F228" i="15" s="1"/>
  <c r="K228" i="15" s="1"/>
  <c r="AC230" i="15"/>
  <c r="F230" i="15" s="1"/>
  <c r="K230" i="15" s="1"/>
  <c r="AC234" i="15"/>
  <c r="F234" i="15" s="1"/>
  <c r="K234" i="15" s="1"/>
  <c r="AC236" i="15"/>
  <c r="F236" i="15" s="1"/>
  <c r="K236" i="15" s="1"/>
  <c r="AC242" i="15"/>
  <c r="F242" i="15" s="1"/>
  <c r="K242" i="15" s="1"/>
  <c r="AC246" i="15"/>
  <c r="F246" i="15" s="1"/>
  <c r="K246" i="15" s="1"/>
  <c r="AC248" i="15"/>
  <c r="F248" i="15" s="1"/>
  <c r="K248" i="15" s="1"/>
  <c r="AC252" i="15"/>
  <c r="F252" i="15" s="1"/>
  <c r="K252" i="15" s="1"/>
  <c r="AC254" i="15"/>
  <c r="F254" i="15" s="1"/>
  <c r="K254" i="15" s="1"/>
  <c r="AC258" i="15"/>
  <c r="F258" i="15" s="1"/>
  <c r="K258" i="15" s="1"/>
  <c r="O40" i="19"/>
  <c r="A40" i="19" s="1"/>
  <c r="O32" i="19"/>
  <c r="A32" i="19" s="1"/>
  <c r="O35" i="19"/>
  <c r="C35" i="19" s="1"/>
  <c r="O41" i="19"/>
  <c r="A41" i="19" s="1"/>
  <c r="R2" i="19"/>
  <c r="AC264" i="15"/>
  <c r="F264" i="15" s="1"/>
  <c r="K264" i="15" s="1"/>
  <c r="AC266" i="15"/>
  <c r="F266" i="15" s="1"/>
  <c r="K266" i="15" s="1"/>
  <c r="AC270" i="15"/>
  <c r="F270" i="15" s="1"/>
  <c r="K270" i="15" s="1"/>
  <c r="AC272" i="15"/>
  <c r="F272" i="15" s="1"/>
  <c r="K272" i="15" s="1"/>
  <c r="AC274" i="15"/>
  <c r="F274" i="15" s="1"/>
  <c r="K274" i="15" s="1"/>
  <c r="AC276" i="15"/>
  <c r="F276" i="15" s="1"/>
  <c r="K276" i="15" s="1"/>
  <c r="AC278" i="15"/>
  <c r="F278" i="15" s="1"/>
  <c r="K278" i="15" s="1"/>
  <c r="AC282" i="15"/>
  <c r="F282" i="15" s="1"/>
  <c r="K282" i="15" s="1"/>
  <c r="AC284" i="15"/>
  <c r="F284" i="15" s="1"/>
  <c r="K284" i="15" s="1"/>
  <c r="AC290" i="15"/>
  <c r="F290" i="15" s="1"/>
  <c r="K290" i="15" s="1"/>
  <c r="AC294" i="15"/>
  <c r="F294" i="15" s="1"/>
  <c r="K294" i="15" s="1"/>
  <c r="AC296" i="15"/>
  <c r="F296" i="15" s="1"/>
  <c r="K296" i="15" s="1"/>
  <c r="AC300" i="15"/>
  <c r="F300" i="15" s="1"/>
  <c r="K300" i="15" s="1"/>
  <c r="AC302" i="15"/>
  <c r="F302" i="15" s="1"/>
  <c r="K302" i="15" s="1"/>
  <c r="AC308" i="15"/>
  <c r="F308" i="15" s="1"/>
  <c r="K308" i="15" s="1"/>
  <c r="O36" i="19"/>
  <c r="A36" i="19" s="1"/>
  <c r="O11" i="19"/>
  <c r="A11" i="19" s="1"/>
  <c r="O58" i="19"/>
  <c r="A59" i="19" s="1"/>
  <c r="AC104" i="15"/>
  <c r="A5" i="15" s="1"/>
  <c r="A104" i="15" s="1"/>
  <c r="AF245" i="15"/>
  <c r="G245" i="15" s="1"/>
  <c r="AC124" i="15"/>
  <c r="F124" i="15" s="1"/>
  <c r="K124" i="15" s="1"/>
  <c r="AC132" i="15"/>
  <c r="F132" i="15" s="1"/>
  <c r="K132" i="15" s="1"/>
  <c r="AF195" i="15"/>
  <c r="G195" i="15" s="1"/>
  <c r="AF112" i="15"/>
  <c r="G112" i="15" s="1"/>
  <c r="AF109" i="15"/>
  <c r="G109" i="15" s="1"/>
  <c r="AC136" i="15"/>
  <c r="F136" i="15" s="1"/>
  <c r="K136" i="15" s="1"/>
  <c r="AC138" i="15"/>
  <c r="F138" i="15" s="1"/>
  <c r="K138" i="15" s="1"/>
  <c r="AC142" i="15"/>
  <c r="F142" i="15" s="1"/>
  <c r="K142" i="15" s="1"/>
  <c r="AC148" i="15"/>
  <c r="F148" i="15" s="1"/>
  <c r="K148" i="15" s="1"/>
  <c r="AC151" i="15"/>
  <c r="F151" i="15" s="1"/>
  <c r="K151" i="15" s="1"/>
  <c r="AC155" i="15"/>
  <c r="F155" i="15" s="1"/>
  <c r="K155" i="15" s="1"/>
  <c r="AC161" i="15"/>
  <c r="F161" i="15" s="1"/>
  <c r="K161" i="15" s="1"/>
  <c r="AC163" i="15"/>
  <c r="F163" i="15" s="1"/>
  <c r="K163" i="15" s="1"/>
  <c r="AC167" i="15"/>
  <c r="F167" i="15" s="1"/>
  <c r="K167" i="15" s="1"/>
  <c r="AC169" i="15"/>
  <c r="F169" i="15" s="1"/>
  <c r="K169" i="15" s="1"/>
  <c r="AC173" i="15"/>
  <c r="F173" i="15" s="1"/>
  <c r="K173" i="15" s="1"/>
  <c r="AC175" i="15"/>
  <c r="F175" i="15" s="1"/>
  <c r="K175" i="15" s="1"/>
  <c r="AC179" i="15"/>
  <c r="F179" i="15" s="1"/>
  <c r="K179" i="15" s="1"/>
  <c r="AC185" i="15"/>
  <c r="F185" i="15" s="1"/>
  <c r="K185" i="15" s="1"/>
  <c r="AC187" i="15"/>
  <c r="F187" i="15" s="1"/>
  <c r="K187" i="15" s="1"/>
  <c r="AC191" i="15"/>
  <c r="F191" i="15" s="1"/>
  <c r="K191" i="15" s="1"/>
  <c r="AC193" i="15"/>
  <c r="F193" i="15" s="1"/>
  <c r="K193" i="15" s="1"/>
  <c r="AC199" i="15"/>
  <c r="F199" i="15" s="1"/>
  <c r="K199" i="15" s="1"/>
  <c r="AC203" i="15"/>
  <c r="F203" i="15" s="1"/>
  <c r="K203" i="15" s="1"/>
  <c r="AC205" i="15"/>
  <c r="F205" i="15" s="1"/>
  <c r="K205" i="15" s="1"/>
  <c r="AC209" i="15"/>
  <c r="F209" i="15" s="1"/>
  <c r="K209" i="15" s="1"/>
  <c r="AC211" i="15"/>
  <c r="F211" i="15" s="1"/>
  <c r="K211" i="15" s="1"/>
  <c r="AC215" i="15"/>
  <c r="F215" i="15" s="1"/>
  <c r="K215" i="15" s="1"/>
  <c r="AC221" i="15"/>
  <c r="F221" i="15" s="1"/>
  <c r="K221" i="15" s="1"/>
  <c r="AC223" i="15"/>
  <c r="F223" i="15" s="1"/>
  <c r="K223" i="15" s="1"/>
  <c r="AC227" i="15"/>
  <c r="F227" i="15" s="1"/>
  <c r="K227" i="15" s="1"/>
  <c r="AC229" i="15"/>
  <c r="F229" i="15" s="1"/>
  <c r="K229" i="15" s="1"/>
  <c r="AC233" i="15"/>
  <c r="F233" i="15" s="1"/>
  <c r="K233" i="15" s="1"/>
  <c r="AC241" i="15"/>
  <c r="F241" i="15" s="1"/>
  <c r="K241" i="15" s="1"/>
  <c r="AC245" i="15"/>
  <c r="F245" i="15" s="1"/>
  <c r="K245" i="15" s="1"/>
  <c r="AC247" i="15"/>
  <c r="F247" i="15" s="1"/>
  <c r="K247" i="15" s="1"/>
  <c r="AC251" i="15"/>
  <c r="F251" i="15" s="1"/>
  <c r="K251" i="15" s="1"/>
  <c r="AC253" i="15"/>
  <c r="F253" i="15" s="1"/>
  <c r="K253" i="15" s="1"/>
  <c r="AC257" i="15"/>
  <c r="F257" i="15" s="1"/>
  <c r="K257" i="15" s="1"/>
  <c r="AC259" i="15"/>
  <c r="F259" i="15" s="1"/>
  <c r="K259" i="15" s="1"/>
  <c r="AC263" i="15"/>
  <c r="F263" i="15" s="1"/>
  <c r="K263" i="15" s="1"/>
  <c r="AC265" i="15"/>
  <c r="F265" i="15" s="1"/>
  <c r="K265" i="15" s="1"/>
  <c r="AC269" i="15"/>
  <c r="F269" i="15" s="1"/>
  <c r="K269" i="15" s="1"/>
  <c r="AC271" i="15"/>
  <c r="F271" i="15" s="1"/>
  <c r="K271" i="15" s="1"/>
  <c r="AC277" i="15"/>
  <c r="F277" i="15" s="1"/>
  <c r="K277" i="15" s="1"/>
  <c r="AC281" i="15"/>
  <c r="F281" i="15" s="1"/>
  <c r="K281" i="15" s="1"/>
  <c r="AC283" i="15"/>
  <c r="F283" i="15" s="1"/>
  <c r="K283" i="15" s="1"/>
  <c r="AC287" i="15"/>
  <c r="F287" i="15" s="1"/>
  <c r="K287" i="15" s="1"/>
  <c r="AC289" i="15"/>
  <c r="F289" i="15" s="1"/>
  <c r="K289" i="15" s="1"/>
  <c r="AC293" i="15"/>
  <c r="F293" i="15" s="1"/>
  <c r="K293" i="15" s="1"/>
  <c r="AC295" i="15"/>
  <c r="F295" i="15" s="1"/>
  <c r="AC299" i="15"/>
  <c r="F299" i="15" s="1"/>
  <c r="K299" i="15" s="1"/>
  <c r="AC301" i="15"/>
  <c r="F301" i="15" s="1"/>
  <c r="K301" i="15" s="1"/>
  <c r="AC305" i="15"/>
  <c r="F305" i="15" s="1"/>
  <c r="K305" i="15" s="1"/>
  <c r="AC307" i="15"/>
  <c r="F307" i="15" s="1"/>
  <c r="K307" i="15" s="1"/>
  <c r="AF233" i="15"/>
  <c r="G233" i="15" s="1"/>
  <c r="AC69" i="15"/>
  <c r="A69" i="15" s="1"/>
  <c r="K57" i="15"/>
  <c r="AC63" i="15"/>
  <c r="A63" i="15" s="1"/>
  <c r="AC108" i="15"/>
  <c r="F108" i="15" s="1"/>
  <c r="K108" i="15" s="1"/>
  <c r="AC112" i="15"/>
  <c r="F112" i="15" s="1"/>
  <c r="K112" i="15" s="1"/>
  <c r="AF219" i="15"/>
  <c r="G219" i="15" s="1"/>
  <c r="K58" i="15"/>
  <c r="AC109" i="15"/>
  <c r="F109" i="15" s="1"/>
  <c r="K109" i="15" s="1"/>
  <c r="AC111" i="15"/>
  <c r="F111" i="15" s="1"/>
  <c r="K111" i="15" s="1"/>
  <c r="O43" i="19"/>
  <c r="A43" i="19" s="1"/>
  <c r="O49" i="19"/>
  <c r="A49" i="19" s="1"/>
  <c r="O52" i="19"/>
  <c r="A52" i="19" s="1"/>
  <c r="O25" i="19"/>
  <c r="A25" i="19" s="1"/>
  <c r="O38" i="19"/>
  <c r="A38" i="19" s="1"/>
  <c r="O4" i="19"/>
  <c r="B1" i="19" s="1"/>
  <c r="O28" i="19"/>
  <c r="A28" i="19" s="1"/>
  <c r="O55" i="19"/>
  <c r="A55" i="19" s="1"/>
  <c r="O27" i="19"/>
  <c r="A27" i="19" s="1"/>
  <c r="O33" i="19"/>
  <c r="A33" i="19" s="1"/>
  <c r="R33" i="19"/>
  <c r="R32" i="19"/>
  <c r="O2" i="19"/>
  <c r="R67" i="19"/>
  <c r="E71" i="19"/>
  <c r="O6" i="19"/>
  <c r="R6" i="19"/>
  <c r="R57" i="19"/>
  <c r="O57" i="19"/>
  <c r="O5" i="19"/>
  <c r="O77" i="19"/>
  <c r="A77" i="19" s="1"/>
  <c r="O19" i="19"/>
  <c r="A19" i="19" s="1"/>
  <c r="A360" i="15"/>
  <c r="S89" i="11"/>
  <c r="E89" i="11" s="1"/>
  <c r="P7" i="11"/>
  <c r="P234" i="11"/>
  <c r="A234" i="11" s="1"/>
  <c r="S13" i="11"/>
  <c r="D6" i="11" s="1"/>
  <c r="D18" i="11" s="1"/>
  <c r="S8" i="11"/>
  <c r="C8" i="11" s="1"/>
  <c r="P247" i="11"/>
  <c r="D247" i="11" s="1"/>
  <c r="S53" i="11"/>
  <c r="E53" i="11" s="1"/>
  <c r="P200" i="11"/>
  <c r="D200" i="11" s="1"/>
  <c r="P250" i="11"/>
  <c r="A249" i="11" s="1"/>
  <c r="P10" i="11"/>
  <c r="A3" i="11" s="1"/>
  <c r="S55" i="18"/>
  <c r="S59" i="18" s="1"/>
  <c r="S56" i="18"/>
  <c r="S57" i="18"/>
  <c r="S58" i="18"/>
  <c r="V58" i="18" s="1"/>
  <c r="F58" i="18" s="1"/>
  <c r="T55" i="18"/>
  <c r="T59" i="18" s="1"/>
  <c r="T139" i="18"/>
  <c r="J25" i="29"/>
  <c r="K25" i="29" s="1"/>
  <c r="Y147" i="18"/>
  <c r="J24" i="29"/>
  <c r="K24" i="29" s="1"/>
  <c r="Y146" i="18"/>
  <c r="Z146" i="18" s="1"/>
  <c r="J22" i="29"/>
  <c r="K22" i="29" s="1"/>
  <c r="W144" i="18"/>
  <c r="F144" i="18" s="1"/>
  <c r="Y144" i="18"/>
  <c r="Z144" i="18" s="1"/>
  <c r="J21" i="29"/>
  <c r="K21" i="29" s="1"/>
  <c r="Y143" i="18"/>
  <c r="J135" i="29"/>
  <c r="A6" i="26"/>
  <c r="O37" i="19"/>
  <c r="A37" i="19" s="1"/>
  <c r="AC116" i="15"/>
  <c r="F116" i="15" s="1"/>
  <c r="K116" i="15" s="1"/>
  <c r="AC122" i="15"/>
  <c r="F122" i="15" s="1"/>
  <c r="K122" i="15" s="1"/>
  <c r="AC128" i="15"/>
  <c r="F128" i="15" s="1"/>
  <c r="K128" i="15" s="1"/>
  <c r="AC134" i="15"/>
  <c r="F134" i="15" s="1"/>
  <c r="K134" i="15" s="1"/>
  <c r="AC140" i="15"/>
  <c r="F140" i="15" s="1"/>
  <c r="K140" i="15" s="1"/>
  <c r="AC146" i="15"/>
  <c r="F146" i="15" s="1"/>
  <c r="K146" i="15" s="1"/>
  <c r="AC153" i="15"/>
  <c r="F153" i="15" s="1"/>
  <c r="K153" i="15" s="1"/>
  <c r="AC159" i="15"/>
  <c r="F159" i="15" s="1"/>
  <c r="K159" i="15" s="1"/>
  <c r="AC165" i="15"/>
  <c r="F165" i="15" s="1"/>
  <c r="K165" i="15" s="1"/>
  <c r="AC171" i="15"/>
  <c r="F171" i="15" s="1"/>
  <c r="K171" i="15" s="1"/>
  <c r="AC177" i="15"/>
  <c r="F177" i="15" s="1"/>
  <c r="K177" i="15" s="1"/>
  <c r="AC189" i="15"/>
  <c r="F189" i="15" s="1"/>
  <c r="AC195" i="15"/>
  <c r="F195" i="15" s="1"/>
  <c r="K195" i="15" s="1"/>
  <c r="AC201" i="15"/>
  <c r="F201" i="15" s="1"/>
  <c r="K201" i="15" s="1"/>
  <c r="AC207" i="15"/>
  <c r="F207" i="15" s="1"/>
  <c r="K207" i="15" s="1"/>
  <c r="AC213" i="15"/>
  <c r="F213" i="15" s="1"/>
  <c r="K213" i="15" s="1"/>
  <c r="AC219" i="15"/>
  <c r="F219" i="15" s="1"/>
  <c r="K219" i="15" s="1"/>
  <c r="AC225" i="15"/>
  <c r="F225" i="15" s="1"/>
  <c r="K225" i="15" s="1"/>
  <c r="AC231" i="15"/>
  <c r="F231" i="15" s="1"/>
  <c r="K231" i="15" s="1"/>
  <c r="AC237" i="15"/>
  <c r="F237" i="15" s="1"/>
  <c r="K237" i="15" s="1"/>
  <c r="AC243" i="15"/>
  <c r="F243" i="15" s="1"/>
  <c r="K243" i="15" s="1"/>
  <c r="AC249" i="15"/>
  <c r="F249" i="15" s="1"/>
  <c r="K249" i="15" s="1"/>
  <c r="AC261" i="15"/>
  <c r="F261" i="15" s="1"/>
  <c r="K261" i="15" s="1"/>
  <c r="AC267" i="15"/>
  <c r="F267" i="15" s="1"/>
  <c r="K267" i="15" s="1"/>
  <c r="AC273" i="15"/>
  <c r="F273" i="15" s="1"/>
  <c r="K273" i="15" s="1"/>
  <c r="AC279" i="15"/>
  <c r="F279" i="15" s="1"/>
  <c r="K279" i="15" s="1"/>
  <c r="AC285" i="15"/>
  <c r="F285" i="15" s="1"/>
  <c r="K285" i="15" s="1"/>
  <c r="AC291" i="15"/>
  <c r="F291" i="15" s="1"/>
  <c r="K291" i="15" s="1"/>
  <c r="AC297" i="15"/>
  <c r="F297" i="15" s="1"/>
  <c r="K297" i="15" s="1"/>
  <c r="AC303" i="15"/>
  <c r="F303" i="15" s="1"/>
  <c r="K303" i="15" s="1"/>
  <c r="AC309" i="15"/>
  <c r="F309" i="15" s="1"/>
  <c r="K309" i="15" s="1"/>
  <c r="S148" i="18"/>
  <c r="AF101" i="15"/>
  <c r="F104" i="15" s="1"/>
  <c r="K61" i="15"/>
  <c r="AC166" i="15"/>
  <c r="F166" i="15" s="1"/>
  <c r="K166" i="15" s="1"/>
  <c r="AC232" i="15"/>
  <c r="F232" i="15" s="1"/>
  <c r="K232" i="15" s="1"/>
  <c r="AC238" i="15"/>
  <c r="F238" i="15" s="1"/>
  <c r="K238" i="15" s="1"/>
  <c r="AC256" i="15"/>
  <c r="F256" i="15" s="1"/>
  <c r="K256" i="15" s="1"/>
  <c r="AC310" i="15"/>
  <c r="F310" i="15" s="1"/>
  <c r="K310" i="15" s="1"/>
  <c r="O82" i="19"/>
  <c r="AF192" i="15"/>
  <c r="G192" i="15" s="1"/>
  <c r="AF199" i="15"/>
  <c r="G199" i="15" s="1"/>
  <c r="AF205" i="15"/>
  <c r="G205" i="15" s="1"/>
  <c r="S84" i="11"/>
  <c r="E84" i="11" s="1"/>
  <c r="AF193" i="15"/>
  <c r="G193" i="15" s="1"/>
  <c r="AF200" i="15"/>
  <c r="G200" i="15" s="1"/>
  <c r="AF212" i="15"/>
  <c r="G212" i="15" s="1"/>
  <c r="T155" i="18"/>
  <c r="E75" i="19"/>
  <c r="AF162" i="15"/>
  <c r="G162" i="15" s="1"/>
  <c r="O76" i="19"/>
  <c r="A76" i="19" s="1"/>
  <c r="AF249" i="15"/>
  <c r="G249" i="15" s="1"/>
  <c r="O18" i="19"/>
  <c r="A18" i="19" s="1"/>
  <c r="B251" i="14"/>
  <c r="AC65" i="15"/>
  <c r="A65" i="15" s="1"/>
  <c r="F43" i="29"/>
  <c r="F46" i="29"/>
  <c r="F47" i="29"/>
  <c r="F49" i="29"/>
  <c r="F45" i="29"/>
  <c r="B246" i="14"/>
  <c r="O54" i="19"/>
  <c r="A54" i="19" s="1"/>
  <c r="AF146" i="15"/>
  <c r="G146" i="15" s="1"/>
  <c r="AC52" i="15"/>
  <c r="A52" i="15" s="1"/>
  <c r="AB3" i="30"/>
  <c r="G1" i="30" s="1"/>
  <c r="B245" i="11"/>
  <c r="O83" i="19"/>
  <c r="A22" i="19" s="1"/>
  <c r="L45" i="29"/>
  <c r="L47" i="29"/>
  <c r="Y135" i="18"/>
  <c r="S139" i="18"/>
  <c r="B139" i="18" s="1"/>
  <c r="T142" i="18"/>
  <c r="W146" i="18"/>
  <c r="F146" i="18" s="1"/>
  <c r="J30" i="29"/>
  <c r="J94" i="29" s="1"/>
  <c r="L75" i="29"/>
  <c r="L44" i="29"/>
  <c r="F48" i="29"/>
  <c r="J9" i="29"/>
  <c r="K9" i="29" s="1"/>
  <c r="K42" i="29" s="1"/>
  <c r="I42" i="29"/>
  <c r="F141" i="29"/>
  <c r="F60" i="29" s="1"/>
  <c r="F64" i="29"/>
  <c r="F83" i="29" s="1"/>
  <c r="F50" i="29"/>
  <c r="L64" i="29"/>
  <c r="L83" i="29" s="1"/>
  <c r="L43" i="29"/>
  <c r="AK25" i="29"/>
  <c r="B25" i="29" s="1"/>
  <c r="AN10" i="29"/>
  <c r="C10" i="29" s="1"/>
  <c r="L79" i="29"/>
  <c r="AK8" i="29"/>
  <c r="B8" i="29" s="1"/>
  <c r="B39" i="29" s="1"/>
  <c r="L48" i="29"/>
  <c r="AK26" i="29"/>
  <c r="B26" i="29" s="1"/>
  <c r="B67" i="29" s="1"/>
  <c r="L50" i="29"/>
  <c r="L51" i="29"/>
  <c r="AK28" i="29"/>
  <c r="B28" i="29" s="1"/>
  <c r="B70" i="29" s="1"/>
  <c r="AK53" i="29"/>
  <c r="B55" i="29" s="1"/>
  <c r="AN12" i="29"/>
  <c r="C46" i="29" s="1"/>
  <c r="B62" i="29" s="1"/>
  <c r="AK82" i="29"/>
  <c r="B82" i="29" s="1"/>
  <c r="AK22" i="29"/>
  <c r="B22" i="29" s="1"/>
  <c r="L1" i="29"/>
  <c r="F1" i="29"/>
  <c r="L141" i="29"/>
  <c r="L62" i="29" s="1"/>
  <c r="L142" i="29"/>
  <c r="L84" i="29" s="1"/>
  <c r="L85" i="29" s="1"/>
  <c r="S5" i="11"/>
  <c r="E5" i="11" s="1"/>
  <c r="E82" i="18"/>
  <c r="AE23" i="30"/>
  <c r="E23" i="30" s="1"/>
  <c r="E73" i="19"/>
  <c r="AE22" i="30"/>
  <c r="G22" i="30" s="1"/>
  <c r="E72" i="19"/>
  <c r="S168" i="11"/>
  <c r="E168" i="11" s="1"/>
  <c r="P11" i="11"/>
  <c r="F3" i="11" s="1"/>
  <c r="B158" i="18"/>
  <c r="G138" i="29"/>
  <c r="G77" i="29" s="1"/>
  <c r="F58" i="29"/>
  <c r="I92" i="29"/>
  <c r="F51" i="29"/>
  <c r="F75" i="29"/>
  <c r="F76" i="29"/>
  <c r="F79" i="29"/>
  <c r="F82" i="29"/>
  <c r="L74" i="29"/>
  <c r="L76" i="29"/>
  <c r="G67" i="29"/>
  <c r="G139" i="29"/>
  <c r="G66" i="29" s="1"/>
  <c r="G70" i="29"/>
  <c r="G71" i="29"/>
  <c r="B33" i="30"/>
  <c r="AE25" i="30"/>
  <c r="E27" i="30" s="1"/>
  <c r="AE7" i="30"/>
  <c r="H23" i="30" s="1"/>
  <c r="AB20" i="30"/>
  <c r="C20" i="30" s="1"/>
  <c r="AB31" i="30"/>
  <c r="D31" i="30" s="1"/>
  <c r="AB6" i="30"/>
  <c r="A6" i="30" s="1"/>
  <c r="AE19" i="30"/>
  <c r="C23" i="30" s="1"/>
  <c r="AB26" i="30"/>
  <c r="D26" i="30" s="1"/>
  <c r="AB30" i="30"/>
  <c r="D30" i="30" s="1"/>
  <c r="AB7" i="30"/>
  <c r="G23" i="30" s="1"/>
  <c r="AB25" i="30"/>
  <c r="D25" i="30" s="1"/>
  <c r="AE24" i="30"/>
  <c r="E24" i="30" s="1"/>
  <c r="AB24" i="30"/>
  <c r="D24" i="30" s="1"/>
  <c r="AB29" i="30"/>
  <c r="D29" i="30" s="1"/>
  <c r="AE13" i="30"/>
  <c r="G2" i="30" s="1"/>
  <c r="AB21" i="30"/>
  <c r="A22" i="30" s="1"/>
  <c r="AB23" i="30"/>
  <c r="AB14" i="30"/>
  <c r="C14" i="30" s="1"/>
  <c r="AB28" i="30"/>
  <c r="D28" i="30" s="1"/>
  <c r="AE6" i="30"/>
  <c r="G6" i="30" s="1"/>
  <c r="AE20" i="30"/>
  <c r="D23" i="30" s="1"/>
  <c r="AE12" i="30"/>
  <c r="J23" i="30" s="1"/>
  <c r="AB33" i="30"/>
  <c r="D33" i="30" s="1"/>
  <c r="AB27" i="30"/>
  <c r="D27" i="30" s="1"/>
  <c r="AE5" i="30"/>
  <c r="G5" i="30" s="1"/>
  <c r="J28" i="29"/>
  <c r="J70" i="29" s="1"/>
  <c r="Y137" i="18"/>
  <c r="AB22" i="30"/>
  <c r="B22" i="30" s="1"/>
  <c r="I8" i="29"/>
  <c r="I40" i="29" s="1"/>
  <c r="AB5" i="30"/>
  <c r="A5" i="30" s="1"/>
  <c r="AB32" i="30"/>
  <c r="D32" i="30" s="1"/>
  <c r="AB12" i="30"/>
  <c r="I23" i="30" s="1"/>
  <c r="F74" i="29"/>
  <c r="F142" i="29"/>
  <c r="F84" i="29" s="1"/>
  <c r="F85" i="29" s="1"/>
  <c r="L77" i="29"/>
  <c r="F77" i="29"/>
  <c r="G34" i="29"/>
  <c r="E76" i="19"/>
  <c r="I94" i="29"/>
  <c r="L82" i="29"/>
  <c r="G72" i="29"/>
  <c r="H94" i="29"/>
  <c r="G92" i="29"/>
  <c r="G94" i="29"/>
  <c r="G88" i="29"/>
  <c r="G90" i="29"/>
  <c r="G140" i="29"/>
  <c r="G58" i="29"/>
  <c r="C84" i="29"/>
  <c r="C68" i="29"/>
  <c r="C88" i="29"/>
  <c r="C70" i="29"/>
  <c r="C92" i="29"/>
  <c r="C74" i="29"/>
  <c r="C67" i="29"/>
  <c r="C82" i="29"/>
  <c r="C60" i="18"/>
  <c r="B23" i="19" l="1"/>
  <c r="D10" i="30" s="1"/>
  <c r="C18" i="30" s="1"/>
  <c r="O46" i="19"/>
  <c r="A46" i="19" s="1"/>
  <c r="S155" i="18"/>
  <c r="H56" i="15"/>
  <c r="O79" i="19"/>
  <c r="A79" i="19" s="1"/>
  <c r="O70" i="19"/>
  <c r="A70" i="19" s="1"/>
  <c r="AF51" i="15"/>
  <c r="D51" i="15" s="1"/>
  <c r="C76" i="29"/>
  <c r="O9" i="19"/>
  <c r="A9" i="19" s="1"/>
  <c r="E59" i="19"/>
  <c r="AA52" i="18"/>
  <c r="H48" i="15"/>
  <c r="H102" i="15" s="1"/>
  <c r="S52" i="18"/>
  <c r="I93" i="29"/>
  <c r="H89" i="29"/>
  <c r="I135" i="29"/>
  <c r="C339" i="15"/>
  <c r="B21" i="19"/>
  <c r="D8" i="30" s="1"/>
  <c r="C16" i="30" s="1"/>
  <c r="U139" i="18"/>
  <c r="D139" i="18" s="1"/>
  <c r="B339" i="15"/>
  <c r="B337" i="15" s="1"/>
  <c r="G1" i="29"/>
  <c r="A58" i="19"/>
  <c r="J34" i="29"/>
  <c r="X52" i="18"/>
  <c r="D31" i="15"/>
  <c r="H51" i="15"/>
  <c r="A25" i="15"/>
  <c r="A250" i="11"/>
  <c r="A57" i="19"/>
  <c r="L63" i="29"/>
  <c r="C332" i="15"/>
  <c r="C7" i="15" s="1"/>
  <c r="G75" i="29"/>
  <c r="A361" i="15"/>
  <c r="B22" i="19"/>
  <c r="D9" i="30" s="1"/>
  <c r="C17" i="30" s="1"/>
  <c r="C122" i="18"/>
  <c r="B140" i="18"/>
  <c r="P4" i="11"/>
  <c r="D3" i="11" s="1"/>
  <c r="H2" i="29"/>
  <c r="H34" i="29" s="1"/>
  <c r="H136" i="29"/>
  <c r="H43" i="29" s="1"/>
  <c r="P5" i="11"/>
  <c r="D5" i="11" s="1"/>
  <c r="P15" i="11"/>
  <c r="E16" i="11" s="1"/>
  <c r="P194" i="11"/>
  <c r="D194" i="11" s="1"/>
  <c r="S172" i="11"/>
  <c r="E172" i="11" s="1"/>
  <c r="S37" i="11"/>
  <c r="E37" i="11" s="1"/>
  <c r="P161" i="11"/>
  <c r="D161" i="11" s="1"/>
  <c r="P203" i="11"/>
  <c r="D203" i="11" s="1"/>
  <c r="P31" i="11"/>
  <c r="D31" i="11" s="1"/>
  <c r="S41" i="11"/>
  <c r="E41" i="11" s="1"/>
  <c r="P237" i="11"/>
  <c r="D237" i="11" s="1"/>
  <c r="P40" i="11"/>
  <c r="D40" i="11" s="1"/>
  <c r="P105" i="11"/>
  <c r="D105" i="11" s="1"/>
  <c r="P208" i="11"/>
  <c r="D208" i="11" s="1"/>
  <c r="P82" i="11"/>
  <c r="D82" i="11" s="1"/>
  <c r="P240" i="11"/>
  <c r="D240" i="11" s="1"/>
  <c r="S27" i="11"/>
  <c r="E27" i="11" s="1"/>
  <c r="S114" i="11"/>
  <c r="E114" i="11" s="1"/>
  <c r="S90" i="11"/>
  <c r="E90" i="11" s="1"/>
  <c r="P167" i="11"/>
  <c r="D167" i="11" s="1"/>
  <c r="P101" i="11"/>
  <c r="D101" i="11" s="1"/>
  <c r="S188" i="11"/>
  <c r="E188" i="11" s="1"/>
  <c r="P158" i="11"/>
  <c r="D158" i="11" s="1"/>
  <c r="S59" i="11"/>
  <c r="E59" i="11" s="1"/>
  <c r="S134" i="11"/>
  <c r="E134" i="11" s="1"/>
  <c r="P98" i="11"/>
  <c r="D98" i="11" s="1"/>
  <c r="P246" i="11"/>
  <c r="A246" i="11" s="1"/>
  <c r="S76" i="11"/>
  <c r="E76" i="11" s="1"/>
  <c r="S205" i="11"/>
  <c r="E205" i="11" s="1"/>
  <c r="S57" i="11"/>
  <c r="E57" i="11" s="1"/>
  <c r="P145" i="11"/>
  <c r="D145" i="11" s="1"/>
  <c r="P9" i="11"/>
  <c r="D4" i="11" s="1"/>
  <c r="S15" i="11"/>
  <c r="F6" i="11" s="1"/>
  <c r="F18" i="11" s="1"/>
  <c r="S224" i="11"/>
  <c r="S150" i="11"/>
  <c r="E150" i="11" s="1"/>
  <c r="P190" i="11"/>
  <c r="D190" i="11" s="1"/>
  <c r="P135" i="11"/>
  <c r="D135" i="11" s="1"/>
  <c r="P77" i="11"/>
  <c r="D77" i="11" s="1"/>
  <c r="P242" i="11"/>
  <c r="D242" i="11" s="1"/>
  <c r="P218" i="11"/>
  <c r="D218" i="11" s="1"/>
  <c r="P137" i="11"/>
  <c r="D137" i="11" s="1"/>
  <c r="S166" i="11"/>
  <c r="E166" i="11" s="1"/>
  <c r="P134" i="11"/>
  <c r="D134" i="11" s="1"/>
  <c r="P8" i="11"/>
  <c r="P209" i="11"/>
  <c r="D209" i="11" s="1"/>
  <c r="P68" i="11"/>
  <c r="D68" i="11" s="1"/>
  <c r="P87" i="11"/>
  <c r="D87" i="11" s="1"/>
  <c r="P117" i="11"/>
  <c r="D117" i="11" s="1"/>
  <c r="P6" i="11"/>
  <c r="D2" i="11" s="1"/>
  <c r="S146" i="11"/>
  <c r="E146" i="11" s="1"/>
  <c r="S120" i="11"/>
  <c r="E120" i="11" s="1"/>
  <c r="S190" i="11"/>
  <c r="E190" i="11" s="1"/>
  <c r="P2" i="11"/>
  <c r="A2" i="11" s="1"/>
  <c r="P220" i="11"/>
  <c r="D220" i="11" s="1"/>
  <c r="P45" i="11"/>
  <c r="D45" i="11" s="1"/>
  <c r="S82" i="11"/>
  <c r="E82" i="11" s="1"/>
  <c r="P106" i="11"/>
  <c r="D106" i="11" s="1"/>
  <c r="P28" i="11"/>
  <c r="D28" i="11" s="1"/>
  <c r="P95" i="11"/>
  <c r="D95" i="11" s="1"/>
  <c r="P214" i="11"/>
  <c r="D214" i="11" s="1"/>
  <c r="S138" i="11"/>
  <c r="E138" i="11" s="1"/>
  <c r="P149" i="11"/>
  <c r="D149" i="11" s="1"/>
  <c r="P166" i="11"/>
  <c r="D166" i="11" s="1"/>
  <c r="P22" i="11"/>
  <c r="D22" i="11" s="1"/>
  <c r="P89" i="11"/>
  <c r="D89" i="11" s="1"/>
  <c r="S16" i="11"/>
  <c r="P130" i="11"/>
  <c r="D130" i="11" s="1"/>
  <c r="P235" i="11"/>
  <c r="D235" i="11" s="1"/>
  <c r="S47" i="11"/>
  <c r="E47" i="11" s="1"/>
  <c r="P122" i="11"/>
  <c r="D122" i="11" s="1"/>
  <c r="P184" i="11"/>
  <c r="D184" i="11" s="1"/>
  <c r="P14" i="11"/>
  <c r="D14" i="11" s="1"/>
  <c r="S171" i="11"/>
  <c r="E171" i="11" s="1"/>
  <c r="P125" i="11"/>
  <c r="D125" i="11" s="1"/>
  <c r="S199" i="11"/>
  <c r="E199" i="11" s="1"/>
  <c r="S132" i="11"/>
  <c r="E132" i="11" s="1"/>
  <c r="S160" i="11"/>
  <c r="E160" i="11" s="1"/>
  <c r="S105" i="11"/>
  <c r="E105" i="11" s="1"/>
  <c r="S144" i="11"/>
  <c r="E144" i="11" s="1"/>
  <c r="S212" i="11"/>
  <c r="E212" i="11" s="1"/>
  <c r="P25" i="11"/>
  <c r="D25" i="11" s="1"/>
  <c r="P34" i="11"/>
  <c r="D34" i="11" s="1"/>
  <c r="P37" i="11"/>
  <c r="D37" i="11" s="1"/>
  <c r="P43" i="11"/>
  <c r="D43" i="11" s="1"/>
  <c r="P46" i="11"/>
  <c r="D46" i="11" s="1"/>
  <c r="P49" i="11"/>
  <c r="D49" i="11" s="1"/>
  <c r="P52" i="11"/>
  <c r="D52" i="11" s="1"/>
  <c r="P55" i="11"/>
  <c r="D55" i="11" s="1"/>
  <c r="P58" i="11"/>
  <c r="D58" i="11" s="1"/>
  <c r="P61" i="11"/>
  <c r="D61" i="11" s="1"/>
  <c r="P71" i="11"/>
  <c r="D71" i="11" s="1"/>
  <c r="P74" i="11"/>
  <c r="D74" i="11" s="1"/>
  <c r="P80" i="11"/>
  <c r="D80" i="11" s="1"/>
  <c r="P83" i="11"/>
  <c r="D83" i="11" s="1"/>
  <c r="P86" i="11"/>
  <c r="D86" i="11" s="1"/>
  <c r="P92" i="11"/>
  <c r="D92" i="11" s="1"/>
  <c r="P104" i="11"/>
  <c r="D104" i="11" s="1"/>
  <c r="P107" i="11"/>
  <c r="D107" i="11" s="1"/>
  <c r="P116" i="11"/>
  <c r="D116" i="11" s="1"/>
  <c r="P119" i="11"/>
  <c r="D119" i="11" s="1"/>
  <c r="P128" i="11"/>
  <c r="D128" i="11" s="1"/>
  <c r="P140" i="11"/>
  <c r="D140" i="11" s="1"/>
  <c r="P143" i="11"/>
  <c r="D143" i="11" s="1"/>
  <c r="P152" i="11"/>
  <c r="D152" i="11" s="1"/>
  <c r="P155" i="11"/>
  <c r="D155" i="11" s="1"/>
  <c r="P164" i="11"/>
  <c r="D164" i="11" s="1"/>
  <c r="P170" i="11"/>
  <c r="D170" i="11" s="1"/>
  <c r="P173" i="11"/>
  <c r="D173" i="11" s="1"/>
  <c r="P176" i="11"/>
  <c r="D176" i="11" s="1"/>
  <c r="P179" i="11"/>
  <c r="D179" i="11" s="1"/>
  <c r="P182" i="11"/>
  <c r="D182" i="11" s="1"/>
  <c r="P185" i="11"/>
  <c r="D185" i="11" s="1"/>
  <c r="P191" i="11"/>
  <c r="D191" i="11" s="1"/>
  <c r="P197" i="11"/>
  <c r="D197" i="11" s="1"/>
  <c r="P212" i="11"/>
  <c r="D212" i="11" s="1"/>
  <c r="P215" i="11"/>
  <c r="D215" i="11" s="1"/>
  <c r="P221" i="11"/>
  <c r="D221" i="11" s="1"/>
  <c r="S19" i="11"/>
  <c r="B19" i="11" s="1"/>
  <c r="B7" i="11" s="1"/>
  <c r="P236" i="11"/>
  <c r="A236" i="11" s="1"/>
  <c r="P23" i="11"/>
  <c r="D23" i="11" s="1"/>
  <c r="P26" i="11"/>
  <c r="D26" i="11" s="1"/>
  <c r="P29" i="11"/>
  <c r="D29" i="11" s="1"/>
  <c r="P32" i="11"/>
  <c r="D32" i="11" s="1"/>
  <c r="P35" i="11"/>
  <c r="D35" i="11" s="1"/>
  <c r="P38" i="11"/>
  <c r="D38" i="11" s="1"/>
  <c r="P41" i="11"/>
  <c r="D41" i="11" s="1"/>
  <c r="P44" i="11"/>
  <c r="D44" i="11" s="1"/>
  <c r="P47" i="11"/>
  <c r="D47" i="11" s="1"/>
  <c r="P50" i="11"/>
  <c r="D50" i="11" s="1"/>
  <c r="P53" i="11"/>
  <c r="D53" i="11" s="1"/>
  <c r="P56" i="11"/>
  <c r="D56" i="11" s="1"/>
  <c r="P59" i="11"/>
  <c r="D59" i="11" s="1"/>
  <c r="P63" i="11"/>
  <c r="D63" i="11" s="1"/>
  <c r="P66" i="11"/>
  <c r="D66" i="11" s="1"/>
  <c r="P69" i="11"/>
  <c r="D69" i="11" s="1"/>
  <c r="P72" i="11"/>
  <c r="D72" i="11" s="1"/>
  <c r="P75" i="11"/>
  <c r="D75" i="11" s="1"/>
  <c r="P78" i="11"/>
  <c r="D78" i="11" s="1"/>
  <c r="P81" i="11"/>
  <c r="D81" i="11" s="1"/>
  <c r="P84" i="11"/>
  <c r="D84" i="11" s="1"/>
  <c r="P90" i="11"/>
  <c r="D90" i="11" s="1"/>
  <c r="P93" i="11"/>
  <c r="D93" i="11" s="1"/>
  <c r="P96" i="11"/>
  <c r="D96" i="11" s="1"/>
  <c r="P99" i="11"/>
  <c r="D99" i="11" s="1"/>
  <c r="P102" i="11"/>
  <c r="D102" i="11" s="1"/>
  <c r="P108" i="11"/>
  <c r="D108" i="11" s="1"/>
  <c r="P111" i="11"/>
  <c r="D111" i="11" s="1"/>
  <c r="P114" i="11"/>
  <c r="D114" i="11" s="1"/>
  <c r="P120" i="11"/>
  <c r="D120" i="11" s="1"/>
  <c r="P123" i="11"/>
  <c r="D123" i="11" s="1"/>
  <c r="P126" i="11"/>
  <c r="D126" i="11" s="1"/>
  <c r="P129" i="11"/>
  <c r="D129" i="11" s="1"/>
  <c r="P132" i="11"/>
  <c r="D132" i="11" s="1"/>
  <c r="P138" i="11"/>
  <c r="D138" i="11" s="1"/>
  <c r="P141" i="11"/>
  <c r="D141" i="11" s="1"/>
  <c r="P144" i="11"/>
  <c r="D144" i="11" s="1"/>
  <c r="P147" i="11"/>
  <c r="D147" i="11" s="1"/>
  <c r="P150" i="11"/>
  <c r="D150" i="11" s="1"/>
  <c r="P153" i="11"/>
  <c r="D153" i="11" s="1"/>
  <c r="P156" i="11"/>
  <c r="D156" i="11" s="1"/>
  <c r="P159" i="11"/>
  <c r="D159" i="11" s="1"/>
  <c r="P162" i="11"/>
  <c r="D162" i="11" s="1"/>
  <c r="P165" i="11"/>
  <c r="D165" i="11" s="1"/>
  <c r="P168" i="11"/>
  <c r="D168" i="11" s="1"/>
  <c r="P171" i="11"/>
  <c r="D171" i="11" s="1"/>
  <c r="P174" i="11"/>
  <c r="D174" i="11" s="1"/>
  <c r="P177" i="11"/>
  <c r="D177" i="11" s="1"/>
  <c r="P180" i="11"/>
  <c r="D180" i="11" s="1"/>
  <c r="P183" i="11"/>
  <c r="D183" i="11" s="1"/>
  <c r="P186" i="11"/>
  <c r="D186" i="11" s="1"/>
  <c r="P189" i="11"/>
  <c r="D189" i="11" s="1"/>
  <c r="P192" i="11"/>
  <c r="D192" i="11" s="1"/>
  <c r="P195" i="11"/>
  <c r="D195" i="11" s="1"/>
  <c r="P198" i="11"/>
  <c r="D198" i="11" s="1"/>
  <c r="P201" i="11"/>
  <c r="D201" i="11" s="1"/>
  <c r="P204" i="11"/>
  <c r="D204" i="11" s="1"/>
  <c r="P207" i="11"/>
  <c r="D207" i="11" s="1"/>
  <c r="P210" i="11"/>
  <c r="D210" i="11" s="1"/>
  <c r="P213" i="11"/>
  <c r="D213" i="11" s="1"/>
  <c r="P216" i="11"/>
  <c r="D216" i="11" s="1"/>
  <c r="P219" i="11"/>
  <c r="D219" i="11" s="1"/>
  <c r="P222" i="11"/>
  <c r="D222" i="11" s="1"/>
  <c r="S23" i="11"/>
  <c r="E23" i="11" s="1"/>
  <c r="S28" i="11"/>
  <c r="E28" i="11" s="1"/>
  <c r="P19" i="11"/>
  <c r="A19" i="11" s="1"/>
  <c r="A7" i="11" s="1"/>
  <c r="P232" i="11"/>
  <c r="A232" i="11" s="1"/>
  <c r="P239" i="11"/>
  <c r="A239" i="11" s="1"/>
  <c r="P233" i="11"/>
  <c r="D233" i="11" s="1"/>
  <c r="P20" i="11"/>
  <c r="D20" i="11" s="1"/>
  <c r="S38" i="11"/>
  <c r="E38" i="11" s="1"/>
  <c r="S44" i="11"/>
  <c r="E44" i="11" s="1"/>
  <c r="S50" i="11"/>
  <c r="E50" i="11" s="1"/>
  <c r="S69" i="11"/>
  <c r="E69" i="11" s="1"/>
  <c r="S72" i="11"/>
  <c r="E72" i="11" s="1"/>
  <c r="S75" i="11"/>
  <c r="E75" i="11" s="1"/>
  <c r="S78" i="11"/>
  <c r="E78" i="11" s="1"/>
  <c r="S81" i="11"/>
  <c r="E81" i="11" s="1"/>
  <c r="S87" i="11"/>
  <c r="E87" i="11" s="1"/>
  <c r="S93" i="11"/>
  <c r="E93" i="11" s="1"/>
  <c r="S99" i="11"/>
  <c r="E99" i="11" s="1"/>
  <c r="S108" i="11"/>
  <c r="E108" i="11" s="1"/>
  <c r="S117" i="11"/>
  <c r="E117" i="11" s="1"/>
  <c r="S123" i="11"/>
  <c r="E123" i="11" s="1"/>
  <c r="S129" i="11"/>
  <c r="E129" i="11" s="1"/>
  <c r="S135" i="11"/>
  <c r="E135" i="11" s="1"/>
  <c r="S141" i="11"/>
  <c r="E141" i="11" s="1"/>
  <c r="S156" i="11"/>
  <c r="E156" i="11" s="1"/>
  <c r="S159" i="11"/>
  <c r="E159" i="11" s="1"/>
  <c r="S162" i="11"/>
  <c r="E162" i="11" s="1"/>
  <c r="S174" i="11"/>
  <c r="E174" i="11" s="1"/>
  <c r="S183" i="11"/>
  <c r="E183" i="11" s="1"/>
  <c r="S189" i="11"/>
  <c r="E189" i="11" s="1"/>
  <c r="S192" i="11"/>
  <c r="E192" i="11" s="1"/>
  <c r="S198" i="11"/>
  <c r="E198" i="11" s="1"/>
  <c r="S201" i="11"/>
  <c r="E201" i="11" s="1"/>
  <c r="S207" i="11"/>
  <c r="E207" i="11" s="1"/>
  <c r="S210" i="11"/>
  <c r="E210" i="11" s="1"/>
  <c r="S216" i="11"/>
  <c r="E216" i="11" s="1"/>
  <c r="S219" i="11"/>
  <c r="E219" i="11" s="1"/>
  <c r="S17" i="11"/>
  <c r="S257" i="11"/>
  <c r="A257" i="11" s="1"/>
  <c r="S259" i="11"/>
  <c r="A259" i="11" s="1"/>
  <c r="S255" i="11"/>
  <c r="A255" i="11" s="1"/>
  <c r="P21" i="11"/>
  <c r="D21" i="11" s="1"/>
  <c r="P24" i="11"/>
  <c r="D24" i="11" s="1"/>
  <c r="P27" i="11"/>
  <c r="D27" i="11" s="1"/>
  <c r="P30" i="11"/>
  <c r="D30" i="11" s="1"/>
  <c r="P33" i="11"/>
  <c r="D33" i="11" s="1"/>
  <c r="P36" i="11"/>
  <c r="D36" i="11" s="1"/>
  <c r="P39" i="11"/>
  <c r="D39" i="11" s="1"/>
  <c r="P42" i="11"/>
  <c r="D42" i="11" s="1"/>
  <c r="P51" i="11"/>
  <c r="D51" i="11" s="1"/>
  <c r="P54" i="11"/>
  <c r="D54" i="11" s="1"/>
  <c r="P57" i="11"/>
  <c r="D57" i="11" s="1"/>
  <c r="P60" i="11"/>
  <c r="D60" i="11" s="1"/>
  <c r="P64" i="11"/>
  <c r="D64" i="11" s="1"/>
  <c r="P67" i="11"/>
  <c r="D67" i="11" s="1"/>
  <c r="P70" i="11"/>
  <c r="D70" i="11" s="1"/>
  <c r="P73" i="11"/>
  <c r="D73" i="11" s="1"/>
  <c r="P76" i="11"/>
  <c r="D76" i="11" s="1"/>
  <c r="P79" i="11"/>
  <c r="D79" i="11" s="1"/>
  <c r="P85" i="11"/>
  <c r="D85" i="11" s="1"/>
  <c r="P88" i="11"/>
  <c r="D88" i="11" s="1"/>
  <c r="P91" i="11"/>
  <c r="D91" i="11" s="1"/>
  <c r="P94" i="11"/>
  <c r="D94" i="11" s="1"/>
  <c r="P97" i="11"/>
  <c r="D97" i="11" s="1"/>
  <c r="P100" i="11"/>
  <c r="D100" i="11" s="1"/>
  <c r="P103" i="11"/>
  <c r="D103" i="11" s="1"/>
  <c r="P109" i="11"/>
  <c r="D109" i="11" s="1"/>
  <c r="P112" i="11"/>
  <c r="D112" i="11" s="1"/>
  <c r="P115" i="11"/>
  <c r="D115" i="11" s="1"/>
  <c r="P118" i="11"/>
  <c r="D118" i="11" s="1"/>
  <c r="P121" i="11"/>
  <c r="D121" i="11" s="1"/>
  <c r="P124" i="11"/>
  <c r="D124" i="11" s="1"/>
  <c r="P127" i="11"/>
  <c r="D127" i="11" s="1"/>
  <c r="P133" i="11"/>
  <c r="D133" i="11" s="1"/>
  <c r="P136" i="11"/>
  <c r="D136" i="11" s="1"/>
  <c r="P139" i="11"/>
  <c r="D139" i="11" s="1"/>
  <c r="P148" i="11"/>
  <c r="D148" i="11" s="1"/>
  <c r="P151" i="11"/>
  <c r="D151" i="11" s="1"/>
  <c r="P154" i="11"/>
  <c r="D154" i="11" s="1"/>
  <c r="P157" i="11"/>
  <c r="D157" i="11" s="1"/>
  <c r="P160" i="11"/>
  <c r="D160" i="11" s="1"/>
  <c r="P163" i="11"/>
  <c r="D163" i="11" s="1"/>
  <c r="P169" i="11"/>
  <c r="D169" i="11" s="1"/>
  <c r="P175" i="11"/>
  <c r="D175" i="11" s="1"/>
  <c r="P178" i="11"/>
  <c r="D178" i="11" s="1"/>
  <c r="P181" i="11"/>
  <c r="D181" i="11" s="1"/>
  <c r="P187" i="11"/>
  <c r="D187" i="11" s="1"/>
  <c r="P193" i="11"/>
  <c r="D193" i="11" s="1"/>
  <c r="P199" i="11"/>
  <c r="D199" i="11" s="1"/>
  <c r="P202" i="11"/>
  <c r="D202" i="11" s="1"/>
  <c r="P205" i="11"/>
  <c r="D205" i="11" s="1"/>
  <c r="P217" i="11"/>
  <c r="D217" i="11" s="1"/>
  <c r="P223" i="11"/>
  <c r="D223" i="11" s="1"/>
  <c r="P18" i="11"/>
  <c r="A18" i="11" s="1"/>
  <c r="A6" i="11" s="1"/>
  <c r="P244" i="11"/>
  <c r="A244" i="11" s="1"/>
  <c r="P241" i="11"/>
  <c r="D241" i="11" s="1"/>
  <c r="S22" i="11"/>
  <c r="E22" i="11" s="1"/>
  <c r="S33" i="11"/>
  <c r="E33" i="11" s="1"/>
  <c r="S36" i="11"/>
  <c r="E36" i="11" s="1"/>
  <c r="S39" i="11"/>
  <c r="E39" i="11" s="1"/>
  <c r="S42" i="11"/>
  <c r="E42" i="11" s="1"/>
  <c r="S48" i="11"/>
  <c r="E48" i="11" s="1"/>
  <c r="S54" i="11"/>
  <c r="E54" i="11" s="1"/>
  <c r="S67" i="11"/>
  <c r="E67" i="11" s="1"/>
  <c r="S88" i="11"/>
  <c r="E88" i="11" s="1"/>
  <c r="S91" i="11"/>
  <c r="E91" i="11" s="1"/>
  <c r="S94" i="11"/>
  <c r="E94" i="11" s="1"/>
  <c r="S97" i="11"/>
  <c r="E97" i="11" s="1"/>
  <c r="S100" i="11"/>
  <c r="E100" i="11" s="1"/>
  <c r="S106" i="11"/>
  <c r="E106" i="11" s="1"/>
  <c r="S109" i="11"/>
  <c r="E109" i="11" s="1"/>
  <c r="S112" i="11"/>
  <c r="E112" i="11" s="1"/>
  <c r="S115" i="11"/>
  <c r="E115" i="11" s="1"/>
  <c r="S118" i="11"/>
  <c r="E118" i="11" s="1"/>
  <c r="S124" i="11"/>
  <c r="E124" i="11" s="1"/>
  <c r="S133" i="11"/>
  <c r="E133" i="11" s="1"/>
  <c r="S145" i="11"/>
  <c r="E145" i="11" s="1"/>
  <c r="S175" i="11"/>
  <c r="E175" i="11" s="1"/>
  <c r="S178" i="11"/>
  <c r="E178" i="11" s="1"/>
  <c r="S181" i="11"/>
  <c r="E181" i="11" s="1"/>
  <c r="S193" i="11"/>
  <c r="E193" i="11" s="1"/>
  <c r="S196" i="11"/>
  <c r="E196" i="11" s="1"/>
  <c r="S202" i="11"/>
  <c r="E202" i="11" s="1"/>
  <c r="S214" i="11"/>
  <c r="E214" i="11" s="1"/>
  <c r="S223" i="11"/>
  <c r="E223" i="11" s="1"/>
  <c r="S14" i="11"/>
  <c r="E6" i="11" s="1"/>
  <c r="E18" i="11" s="1"/>
  <c r="G351" i="15"/>
  <c r="A12" i="15"/>
  <c r="D55" i="15"/>
  <c r="AC255" i="15"/>
  <c r="F255" i="15" s="1"/>
  <c r="K255" i="15" s="1"/>
  <c r="J38" i="29"/>
  <c r="E81" i="18"/>
  <c r="E120" i="18"/>
  <c r="A113" i="18"/>
  <c r="A120" i="18"/>
  <c r="A112" i="18"/>
  <c r="A119" i="18"/>
  <c r="A111" i="18"/>
  <c r="A118" i="18"/>
  <c r="E111" i="18"/>
  <c r="E118" i="18"/>
  <c r="C86" i="18"/>
  <c r="C119" i="18"/>
  <c r="A110" i="18"/>
  <c r="A117" i="18"/>
  <c r="E110" i="18"/>
  <c r="E117" i="18"/>
  <c r="E112" i="18"/>
  <c r="O67" i="19"/>
  <c r="A67" i="19" s="1"/>
  <c r="AC23" i="15"/>
  <c r="AC21" i="15"/>
  <c r="E84" i="18"/>
  <c r="AF57" i="15"/>
  <c r="AC53" i="15"/>
  <c r="F358" i="15" s="1"/>
  <c r="O12" i="19"/>
  <c r="A12" i="19" s="1"/>
  <c r="E114" i="18"/>
  <c r="A109" i="18"/>
  <c r="AC22" i="15"/>
  <c r="AC51" i="15"/>
  <c r="A51" i="15" s="1"/>
  <c r="Z153" i="18"/>
  <c r="J93" i="29"/>
  <c r="J89" i="29"/>
  <c r="B133" i="18"/>
  <c r="B89" i="18"/>
  <c r="A80" i="18"/>
  <c r="E97" i="18"/>
  <c r="S261" i="11"/>
  <c r="A261" i="11" s="1"/>
  <c r="E251" i="11" s="1"/>
  <c r="O69" i="19"/>
  <c r="A69" i="19" s="1"/>
  <c r="AF49" i="15"/>
  <c r="AE3" i="30"/>
  <c r="G3" i="30" s="1"/>
  <c r="AF3" i="15"/>
  <c r="F3" i="15" s="1"/>
  <c r="T58" i="18"/>
  <c r="AC66" i="15"/>
  <c r="A66" i="15" s="1"/>
  <c r="T57" i="18"/>
  <c r="O68" i="19"/>
  <c r="A68" i="19" s="1"/>
  <c r="Z137" i="18"/>
  <c r="B122" i="18"/>
  <c r="I89" i="29"/>
  <c r="S256" i="11"/>
  <c r="A256" i="11" s="1"/>
  <c r="O24" i="19"/>
  <c r="AF60" i="15"/>
  <c r="AF59" i="15"/>
  <c r="I68" i="29"/>
  <c r="I69" i="29" s="1"/>
  <c r="S260" i="11"/>
  <c r="A260" i="11" s="1"/>
  <c r="F251" i="11" s="1"/>
  <c r="AF58" i="15"/>
  <c r="AC54" i="15"/>
  <c r="F359" i="15" s="1"/>
  <c r="O74" i="19"/>
  <c r="A74" i="19" s="1"/>
  <c r="Z135" i="18"/>
  <c r="I138" i="29"/>
  <c r="I78" i="29" s="1"/>
  <c r="S258" i="11"/>
  <c r="A258" i="11" s="1"/>
  <c r="AC24" i="15"/>
  <c r="A50" i="15" s="1"/>
  <c r="O17" i="19"/>
  <c r="A17" i="19" s="1"/>
  <c r="AC68" i="15"/>
  <c r="A68" i="15" s="1"/>
  <c r="AF47" i="15"/>
  <c r="AF56" i="15"/>
  <c r="AC62" i="15"/>
  <c r="A62" i="15" s="1"/>
  <c r="AC3" i="15"/>
  <c r="A242" i="11"/>
  <c r="A240" i="11" s="1"/>
  <c r="AF2" i="15"/>
  <c r="A23" i="15"/>
  <c r="A21" i="15"/>
  <c r="A26" i="15"/>
  <c r="P2" i="15"/>
  <c r="F162" i="15"/>
  <c r="K162" i="15" s="1"/>
  <c r="O2" i="15"/>
  <c r="R68" i="19"/>
  <c r="O44" i="19"/>
  <c r="A44" i="19" s="1"/>
  <c r="O8" i="19"/>
  <c r="A8" i="19" s="1"/>
  <c r="O75" i="19"/>
  <c r="A75" i="19" s="1"/>
  <c r="O45" i="19"/>
  <c r="A45" i="19" s="1"/>
  <c r="O16" i="19"/>
  <c r="A16" i="19" s="1"/>
  <c r="O14" i="19"/>
  <c r="A14" i="19" s="1"/>
  <c r="O66" i="19"/>
  <c r="A66" i="19" s="1"/>
  <c r="O10" i="19"/>
  <c r="A10" i="19" s="1"/>
  <c r="F49" i="15"/>
  <c r="R10" i="19"/>
  <c r="B14" i="19" s="1"/>
  <c r="R11" i="19"/>
  <c r="O71" i="19"/>
  <c r="A71" i="19" s="1"/>
  <c r="C31" i="15"/>
  <c r="O81" i="19"/>
  <c r="A80" i="19" s="1"/>
  <c r="A16" i="15"/>
  <c r="I363" i="15" s="1"/>
  <c r="A14" i="15"/>
  <c r="F363" i="15" s="1"/>
  <c r="A82" i="19"/>
  <c r="D60" i="19" s="1"/>
  <c r="L321" i="15"/>
  <c r="A81" i="19"/>
  <c r="C60" i="19" s="1"/>
  <c r="L322" i="15"/>
  <c r="L318" i="15"/>
  <c r="L316" i="15"/>
  <c r="A23" i="19"/>
  <c r="L324" i="15"/>
  <c r="A44" i="15"/>
  <c r="A24" i="15"/>
  <c r="A43" i="15"/>
  <c r="O3" i="19"/>
  <c r="A2" i="19" s="1"/>
  <c r="A28" i="15"/>
  <c r="L319" i="15"/>
  <c r="A20" i="15"/>
  <c r="L317" i="15"/>
  <c r="L323" i="15"/>
  <c r="A354" i="15"/>
  <c r="J354" i="15" s="1"/>
  <c r="A22" i="15"/>
  <c r="A38" i="15"/>
  <c r="L314" i="15"/>
  <c r="L315" i="15"/>
  <c r="A19" i="15"/>
  <c r="A37" i="15"/>
  <c r="A11" i="15"/>
  <c r="A34" i="15"/>
  <c r="H46" i="29"/>
  <c r="Y145" i="18"/>
  <c r="Z145" i="18" s="1"/>
  <c r="W145" i="18"/>
  <c r="F145" i="18" s="1"/>
  <c r="J23" i="29"/>
  <c r="K23" i="29" s="1"/>
  <c r="G136" i="29"/>
  <c r="G142" i="29" s="1"/>
  <c r="G84" i="29" s="1"/>
  <c r="G85" i="29" s="1"/>
  <c r="P62" i="11"/>
  <c r="D62" i="11" s="1"/>
  <c r="B242" i="11"/>
  <c r="B240" i="11" s="1"/>
  <c r="P228" i="11"/>
  <c r="D228" i="11" s="1"/>
  <c r="P225" i="11"/>
  <c r="D225" i="11" s="1"/>
  <c r="P227" i="11"/>
  <c r="D227" i="11" s="1"/>
  <c r="P226" i="11"/>
  <c r="D226" i="11" s="1"/>
  <c r="T52" i="18"/>
  <c r="Y52" i="18"/>
  <c r="AB52" i="18"/>
  <c r="B106" i="15"/>
  <c r="D6" i="15"/>
  <c r="D106" i="15" s="1"/>
  <c r="K26" i="29"/>
  <c r="K67" i="29" s="1"/>
  <c r="J68" i="29"/>
  <c r="J67" i="29"/>
  <c r="G82" i="29"/>
  <c r="A21" i="19"/>
  <c r="F357" i="15"/>
  <c r="L269" i="15"/>
  <c r="A319" i="15" s="1"/>
  <c r="B334" i="15"/>
  <c r="I35" i="29"/>
  <c r="A83" i="19"/>
  <c r="E60" i="19" s="1"/>
  <c r="B32" i="19"/>
  <c r="S130" i="18"/>
  <c r="L234" i="15"/>
  <c r="A317" i="15" s="1"/>
  <c r="A334" i="15"/>
  <c r="T100" i="18"/>
  <c r="C100" i="18" s="1"/>
  <c r="S132" i="18"/>
  <c r="I136" i="29"/>
  <c r="I43" i="29" s="1"/>
  <c r="C47" i="29"/>
  <c r="B63" i="29" s="1"/>
  <c r="H42" i="29"/>
  <c r="S100" i="18"/>
  <c r="D339" i="15"/>
  <c r="D337" i="15" s="1"/>
  <c r="C5" i="15"/>
  <c r="C104" i="15" s="1"/>
  <c r="A35" i="15"/>
  <c r="H18" i="29"/>
  <c r="H56" i="29" s="1"/>
  <c r="C72" i="29"/>
  <c r="C94" i="29"/>
  <c r="B61" i="18"/>
  <c r="L181" i="15"/>
  <c r="A315" i="15" s="1"/>
  <c r="A32" i="15"/>
  <c r="C69" i="29"/>
  <c r="L61" i="29"/>
  <c r="L80" i="29"/>
  <c r="L81" i="29" s="1"/>
  <c r="L287" i="15"/>
  <c r="A321" i="15" s="1"/>
  <c r="A36" i="15"/>
  <c r="H83" i="15"/>
  <c r="D5" i="15"/>
  <c r="D104" i="15" s="1"/>
  <c r="K89" i="29"/>
  <c r="A40" i="15"/>
  <c r="F74" i="18"/>
  <c r="B78" i="18"/>
  <c r="T77" i="18" s="1"/>
  <c r="U77" i="18" s="1"/>
  <c r="B235" i="11"/>
  <c r="B8" i="11" s="1"/>
  <c r="A78" i="19"/>
  <c r="L290" i="15"/>
  <c r="A322" i="15" s="1"/>
  <c r="A39" i="15"/>
  <c r="A33" i="15"/>
  <c r="H138" i="29"/>
  <c r="H79" i="29" s="1"/>
  <c r="D89" i="18"/>
  <c r="A79" i="18"/>
  <c r="E113" i="18"/>
  <c r="D149" i="18"/>
  <c r="D133" i="18"/>
  <c r="A85" i="18"/>
  <c r="E5" i="19"/>
  <c r="K40" i="29"/>
  <c r="G7" i="29"/>
  <c r="G89" i="29" s="1"/>
  <c r="H38" i="29"/>
  <c r="C12" i="29"/>
  <c r="K38" i="29"/>
  <c r="H8" i="29"/>
  <c r="H39" i="29" s="1"/>
  <c r="H135" i="29"/>
  <c r="K135" i="29"/>
  <c r="C43" i="29"/>
  <c r="B60" i="29" s="1"/>
  <c r="J10" i="29"/>
  <c r="J40" i="29"/>
  <c r="J39" i="29"/>
  <c r="I71" i="29"/>
  <c r="I139" i="29"/>
  <c r="I66" i="29" s="1"/>
  <c r="J42" i="29"/>
  <c r="I70" i="29"/>
  <c r="H26" i="29"/>
  <c r="H67" i="29" s="1"/>
  <c r="E6" i="26"/>
  <c r="C112" i="18"/>
  <c r="C80" i="18"/>
  <c r="A82" i="18"/>
  <c r="A72" i="18"/>
  <c r="A71" i="18"/>
  <c r="E13" i="18"/>
  <c r="E28" i="30"/>
  <c r="A235" i="11"/>
  <c r="A8" i="11" s="1"/>
  <c r="A339" i="15"/>
  <c r="L125" i="15"/>
  <c r="A314" i="15" s="1"/>
  <c r="K107" i="15"/>
  <c r="L261" i="15"/>
  <c r="A318" i="15" s="1"/>
  <c r="L305" i="15"/>
  <c r="A324" i="15" s="1"/>
  <c r="B33" i="19"/>
  <c r="B25" i="19"/>
  <c r="A6" i="19"/>
  <c r="B19" i="19"/>
  <c r="B28" i="19"/>
  <c r="I39" i="29"/>
  <c r="L282" i="15"/>
  <c r="A320" i="15" s="1"/>
  <c r="B157" i="18"/>
  <c r="B160" i="18" s="1"/>
  <c r="J139" i="29"/>
  <c r="J66" i="29" s="1"/>
  <c r="E25" i="30"/>
  <c r="H47" i="29"/>
  <c r="C11" i="29"/>
  <c r="C44" i="29"/>
  <c r="B61" i="29" s="1"/>
  <c r="C337" i="15"/>
  <c r="H70" i="29"/>
  <c r="B15" i="19"/>
  <c r="D56" i="15"/>
  <c r="H19" i="29"/>
  <c r="H57" i="29" s="1"/>
  <c r="F4" i="29"/>
  <c r="U92" i="18"/>
  <c r="U100" i="18" s="1"/>
  <c r="D100" i="18" s="1"/>
  <c r="E26" i="30"/>
  <c r="E31" i="30"/>
  <c r="E29" i="30"/>
  <c r="E32" i="30"/>
  <c r="A106" i="15"/>
  <c r="C6" i="15"/>
  <c r="C106" i="15" s="1"/>
  <c r="K295" i="15"/>
  <c r="L300" i="15"/>
  <c r="A323" i="15" s="1"/>
  <c r="J20" i="29"/>
  <c r="W142" i="18"/>
  <c r="F142" i="18" s="1"/>
  <c r="Y142" i="18"/>
  <c r="G74" i="29"/>
  <c r="G79" i="29"/>
  <c r="G76" i="29"/>
  <c r="F61" i="29"/>
  <c r="F62" i="29"/>
  <c r="L60" i="29"/>
  <c r="K28" i="29"/>
  <c r="V55" i="18"/>
  <c r="F55" i="18" s="1"/>
  <c r="J92" i="29"/>
  <c r="K30" i="29"/>
  <c r="A330" i="15"/>
  <c r="A332" i="15" s="1"/>
  <c r="A7" i="15" s="1"/>
  <c r="B330" i="15"/>
  <c r="B332" i="15" s="1"/>
  <c r="B7" i="15" s="1"/>
  <c r="L207" i="15"/>
  <c r="A316" i="15" s="1"/>
  <c r="K189" i="15"/>
  <c r="V148" i="18"/>
  <c r="C157" i="18" s="1"/>
  <c r="A2" i="14"/>
  <c r="E19" i="14"/>
  <c r="G78" i="29"/>
  <c r="F80" i="29"/>
  <c r="F81" i="29" s="1"/>
  <c r="F63" i="29"/>
  <c r="A81" i="18"/>
  <c r="U155" i="18"/>
  <c r="C139" i="18"/>
  <c r="T94" i="18"/>
  <c r="T99" i="18" s="1"/>
  <c r="C99" i="18" s="1"/>
  <c r="C158" i="18" s="1"/>
  <c r="S102" i="18"/>
  <c r="S99" i="18"/>
  <c r="T101" i="18"/>
  <c r="U101" i="18" s="1"/>
  <c r="S103" i="18"/>
  <c r="L49" i="29"/>
  <c r="L46" i="29"/>
  <c r="T56" i="18"/>
  <c r="J86" i="29"/>
  <c r="J41" i="29"/>
  <c r="H71" i="29"/>
  <c r="C93" i="29"/>
  <c r="C89" i="29"/>
  <c r="C83" i="29"/>
  <c r="I54" i="29"/>
  <c r="H16" i="29"/>
  <c r="H54" i="29" s="1"/>
  <c r="I137" i="29"/>
  <c r="J56" i="29"/>
  <c r="K18" i="29"/>
  <c r="K56" i="29" s="1"/>
  <c r="J57" i="29"/>
  <c r="K19" i="29"/>
  <c r="K57" i="29" s="1"/>
  <c r="Y58" i="18"/>
  <c r="Y56" i="18"/>
  <c r="Y57" i="18"/>
  <c r="X55" i="18"/>
  <c r="K15" i="29"/>
  <c r="K53" i="29" s="1"/>
  <c r="J53" i="29"/>
  <c r="X58" i="18"/>
  <c r="H15" i="29"/>
  <c r="H53" i="29" s="1"/>
  <c r="X57" i="18"/>
  <c r="Y55" i="18"/>
  <c r="K16" i="29"/>
  <c r="J54" i="29"/>
  <c r="J137" i="29"/>
  <c r="S127" i="18"/>
  <c r="C127" i="18" s="1"/>
  <c r="X56" i="18"/>
  <c r="H44" i="29" l="1"/>
  <c r="E7" i="11"/>
  <c r="A54" i="15"/>
  <c r="G43" i="29"/>
  <c r="F2" i="15"/>
  <c r="G68" i="29"/>
  <c r="G38" i="29"/>
  <c r="Y59" i="18"/>
  <c r="AB55" i="18" s="1"/>
  <c r="AB56" i="18" s="1"/>
  <c r="I77" i="29"/>
  <c r="A53" i="15"/>
  <c r="I79" i="29"/>
  <c r="J69" i="29"/>
  <c r="J71" i="29"/>
  <c r="J72" i="29" s="1"/>
  <c r="I74" i="29"/>
  <c r="G44" i="29"/>
  <c r="G46" i="29"/>
  <c r="G47" i="29"/>
  <c r="K71" i="29"/>
  <c r="A7" i="19"/>
  <c r="F7" i="11"/>
  <c r="D7" i="11"/>
  <c r="B8" i="19"/>
  <c r="G141" i="29"/>
  <c r="G63" i="29" s="1"/>
  <c r="H68" i="29"/>
  <c r="H69" i="29" s="1"/>
  <c r="B52" i="19"/>
  <c r="G69" i="29"/>
  <c r="G8" i="29"/>
  <c r="G40" i="29" s="1"/>
  <c r="H78" i="29"/>
  <c r="G80" i="29"/>
  <c r="G81" i="29" s="1"/>
  <c r="K68" i="29"/>
  <c r="K69" i="29" s="1"/>
  <c r="H77" i="29"/>
  <c r="H74" i="29"/>
  <c r="I44" i="29"/>
  <c r="I46" i="29"/>
  <c r="I47" i="29"/>
  <c r="H139" i="29"/>
  <c r="H66" i="29" s="1"/>
  <c r="H40" i="29"/>
  <c r="U103" i="18"/>
  <c r="D103" i="18" s="1"/>
  <c r="I6" i="15"/>
  <c r="I72" i="29"/>
  <c r="G93" i="29"/>
  <c r="G135" i="29"/>
  <c r="K10" i="29"/>
  <c r="K136" i="29" s="1"/>
  <c r="K46" i="29" s="1"/>
  <c r="J136" i="29"/>
  <c r="J141" i="29" s="1"/>
  <c r="A337" i="15"/>
  <c r="H6" i="15"/>
  <c r="T103" i="18"/>
  <c r="C103" i="18" s="1"/>
  <c r="F103" i="18" s="1"/>
  <c r="J14" i="29" s="1"/>
  <c r="H14" i="29" s="1"/>
  <c r="H72" i="29"/>
  <c r="C160" i="18"/>
  <c r="K94" i="29"/>
  <c r="K92" i="29"/>
  <c r="X59" i="18"/>
  <c r="AA55" i="18" s="1"/>
  <c r="AA56" i="18" s="1"/>
  <c r="G142" i="18" s="1"/>
  <c r="I55" i="29"/>
  <c r="I58" i="29"/>
  <c r="I141" i="29"/>
  <c r="I142" i="29"/>
  <c r="Z142" i="18"/>
  <c r="Y148" i="18"/>
  <c r="D157" i="18" s="1"/>
  <c r="H49" i="29"/>
  <c r="H45" i="29" s="1"/>
  <c r="U94" i="18"/>
  <c r="T102" i="18"/>
  <c r="C102" i="18" s="1"/>
  <c r="H137" i="29"/>
  <c r="H141" i="29" s="1"/>
  <c r="K70" i="29"/>
  <c r="K20" i="29"/>
  <c r="K138" i="29" s="1"/>
  <c r="J138" i="29"/>
  <c r="K139" i="29"/>
  <c r="K66" i="29" s="1"/>
  <c r="J55" i="29"/>
  <c r="J58" i="29"/>
  <c r="K54" i="29"/>
  <c r="K137" i="29"/>
  <c r="Y61" i="18" l="1"/>
  <c r="AB57" i="18" s="1"/>
  <c r="K72" i="29"/>
  <c r="G49" i="29"/>
  <c r="G48" i="29" s="1"/>
  <c r="X61" i="18"/>
  <c r="G148" i="18" s="1"/>
  <c r="G62" i="29"/>
  <c r="G61" i="29"/>
  <c r="G39" i="29"/>
  <c r="G60" i="29"/>
  <c r="G64" i="29" s="1"/>
  <c r="G83" i="29" s="1"/>
  <c r="I49" i="29"/>
  <c r="I45" i="29" s="1"/>
  <c r="J88" i="29"/>
  <c r="J90" i="29" s="1"/>
  <c r="J142" i="29"/>
  <c r="I14" i="29"/>
  <c r="I88" i="29" s="1"/>
  <c r="I90" i="29" s="1"/>
  <c r="H142" i="29"/>
  <c r="K14" i="29"/>
  <c r="K140" i="29" s="1"/>
  <c r="J140" i="29"/>
  <c r="K43" i="29"/>
  <c r="K47" i="29"/>
  <c r="K44" i="29"/>
  <c r="J43" i="29"/>
  <c r="J60" i="29" s="1"/>
  <c r="J47" i="29"/>
  <c r="J63" i="29" s="1"/>
  <c r="J44" i="29"/>
  <c r="J61" i="29" s="1"/>
  <c r="J46" i="29"/>
  <c r="J62" i="29" s="1"/>
  <c r="H88" i="29"/>
  <c r="H90" i="29" s="1"/>
  <c r="H140" i="29"/>
  <c r="I61" i="29"/>
  <c r="I62" i="29"/>
  <c r="I63" i="29"/>
  <c r="I60" i="29"/>
  <c r="K78" i="29"/>
  <c r="K74" i="29"/>
  <c r="K77" i="29"/>
  <c r="K79" i="29"/>
  <c r="H51" i="29"/>
  <c r="H48" i="29"/>
  <c r="H50" i="29"/>
  <c r="G51" i="29"/>
  <c r="J74" i="29"/>
  <c r="J78" i="29"/>
  <c r="J79" i="29"/>
  <c r="J77" i="29"/>
  <c r="H58" i="29"/>
  <c r="H55" i="29"/>
  <c r="U99" i="18"/>
  <c r="D99" i="18" s="1"/>
  <c r="D158" i="18" s="1"/>
  <c r="D160" i="18" s="1"/>
  <c r="U102" i="18"/>
  <c r="D102" i="18" s="1"/>
  <c r="G45" i="29"/>
  <c r="AA57" i="18"/>
  <c r="Z139" i="18" s="1"/>
  <c r="W147" i="18" s="1"/>
  <c r="K141" i="29"/>
  <c r="K55" i="29"/>
  <c r="K58" i="29"/>
  <c r="K142" i="29"/>
  <c r="G50" i="29" l="1"/>
  <c r="I64" i="29"/>
  <c r="I80" i="29" s="1"/>
  <c r="I81" i="29" s="1"/>
  <c r="I82" i="29" s="1"/>
  <c r="I51" i="29"/>
  <c r="I50" i="29"/>
  <c r="I48" i="29"/>
  <c r="H62" i="29"/>
  <c r="I140" i="29"/>
  <c r="K49" i="29"/>
  <c r="K45" i="29" s="1"/>
  <c r="H60" i="29"/>
  <c r="K88" i="29"/>
  <c r="K90" i="29" s="1"/>
  <c r="H63" i="29"/>
  <c r="J49" i="29"/>
  <c r="T147" i="18"/>
  <c r="T148" i="18" s="1"/>
  <c r="B148" i="18" s="1"/>
  <c r="H61" i="29"/>
  <c r="Z147" i="18"/>
  <c r="Z148" i="18" s="1"/>
  <c r="D148" i="18" s="1"/>
  <c r="J64" i="29"/>
  <c r="J75" i="29" s="1"/>
  <c r="J76" i="29" s="1"/>
  <c r="F147" i="18"/>
  <c r="W148" i="18"/>
  <c r="K63" i="29"/>
  <c r="K60" i="29"/>
  <c r="K61" i="29"/>
  <c r="K62" i="29"/>
  <c r="I75" i="29" l="1"/>
  <c r="I76" i="29" s="1"/>
  <c r="I83" i="29"/>
  <c r="I84" i="29" s="1"/>
  <c r="I85" i="29" s="1"/>
  <c r="H64" i="29"/>
  <c r="H83" i="29" s="1"/>
  <c r="K50" i="29"/>
  <c r="K48" i="29"/>
  <c r="K51" i="29"/>
  <c r="J45" i="29"/>
  <c r="J50" i="29"/>
  <c r="J48" i="29"/>
  <c r="J51" i="29"/>
  <c r="J80" i="29"/>
  <c r="J81" i="29" s="1"/>
  <c r="J82" i="29" s="1"/>
  <c r="J83" i="29"/>
  <c r="K64" i="29"/>
  <c r="K80" i="29" s="1"/>
  <c r="K81" i="29" s="1"/>
  <c r="K82" i="29" s="1"/>
  <c r="C148" i="18"/>
  <c r="F148" i="18"/>
  <c r="F149" i="18" s="1"/>
  <c r="H75" i="29" l="1"/>
  <c r="H76" i="29" s="1"/>
  <c r="H80" i="29"/>
  <c r="H81" i="29" s="1"/>
  <c r="H82" i="29" s="1"/>
  <c r="H84" i="29" s="1"/>
  <c r="H85" i="29" s="1"/>
  <c r="J84" i="29"/>
  <c r="J85" i="29" s="1"/>
  <c r="K75" i="29"/>
  <c r="K76" i="29" s="1"/>
  <c r="K83" i="29"/>
  <c r="K84" i="29" s="1"/>
  <c r="K85" i="29" s="1"/>
  <c r="D72" i="15" l="1"/>
  <c r="B27" i="19"/>
  <c r="K11" i="15"/>
  <c r="H14" i="30"/>
  <c r="C24" i="30"/>
  <c r="C25" i="30" s="1"/>
  <c r="C26" i="30" s="1"/>
  <c r="C27" i="30" s="1"/>
  <c r="C28" i="30" s="1"/>
  <c r="C29" i="30" s="1"/>
  <c r="C30" i="30" s="1"/>
  <c r="C31" i="30" s="1"/>
  <c r="C32" i="30" s="1"/>
  <c r="C3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Sridharan Govind</author>
  </authors>
  <commentList>
    <comment ref="X137" authorId="0" shapeId="0" xr:uid="{00000000-0006-0000-0500-000001000000}">
      <text>
        <r>
          <rPr>
            <b/>
            <sz val="9"/>
            <color indexed="81"/>
            <rFont val="Tahoma"/>
            <family val="2"/>
          </rPr>
          <t>Sridharan Govind:</t>
        </r>
        <r>
          <rPr>
            <sz val="9"/>
            <color indexed="81"/>
            <rFont val="Tahoma"/>
            <family val="2"/>
          </rPr>
          <t xml:space="preserve">
0.15 pro Azubi</t>
        </r>
      </text>
    </comment>
    <comment ref="Y141" authorId="0" shapeId="0" xr:uid="{00000000-0006-0000-0500-000002000000}">
      <text>
        <r>
          <rPr>
            <b/>
            <sz val="9"/>
            <color indexed="81"/>
            <rFont val="Tahoma"/>
            <family val="2"/>
          </rPr>
          <t>Sridharan Govind:</t>
        </r>
        <r>
          <rPr>
            <sz val="9"/>
            <color indexed="81"/>
            <rFont val="Tahoma"/>
            <family val="2"/>
          </rPr>
          <t xml:space="preserve">
formule différente: corrigé le 24.11.2017</t>
        </r>
      </text>
    </comment>
    <comment ref="W145" authorId="0" shapeId="0" xr:uid="{00000000-0006-0000-0500-000003000000}">
      <text>
        <r>
          <rPr>
            <b/>
            <sz val="9"/>
            <color indexed="81"/>
            <rFont val="Tahoma"/>
            <family val="2"/>
          </rPr>
          <t>Sridharan Govind:</t>
        </r>
        <r>
          <rPr>
            <sz val="9"/>
            <color indexed="81"/>
            <rFont val="Tahoma"/>
            <family val="2"/>
          </rPr>
          <t xml:space="preserve">
Abzug 25%</t>
        </r>
      </text>
    </comment>
    <comment ref="Z145" authorId="0" shapeId="0" xr:uid="{00000000-0006-0000-0500-000004000000}">
      <text>
        <r>
          <rPr>
            <b/>
            <sz val="9"/>
            <color indexed="81"/>
            <rFont val="Tahoma"/>
            <family val="2"/>
          </rPr>
          <t>Sridharan Govind:</t>
        </r>
        <r>
          <rPr>
            <sz val="9"/>
            <color indexed="81"/>
            <rFont val="Tahoma"/>
            <family val="2"/>
          </rPr>
          <t xml:space="preserve">
Abzug 25%</t>
        </r>
      </text>
    </comment>
    <comment ref="W147" authorId="0" shapeId="0" xr:uid="{00000000-0006-0000-0500-000005000000}">
      <text>
        <r>
          <rPr>
            <b/>
            <sz val="9"/>
            <color indexed="81"/>
            <rFont val="Tahoma"/>
            <family val="2"/>
          </rPr>
          <t>Sridharan Govind:</t>
        </r>
        <r>
          <rPr>
            <sz val="9"/>
            <color indexed="81"/>
            <rFont val="Tahoma"/>
            <family val="2"/>
          </rPr>
          <t xml:space="preserve">
zählt nur die erlaubten 5% (Basis: 80%)</t>
        </r>
      </text>
    </comment>
    <comment ref="Z147" authorId="0" shapeId="0" xr:uid="{00000000-0006-0000-0500-000006000000}">
      <text>
        <r>
          <rPr>
            <b/>
            <sz val="9"/>
            <color indexed="81"/>
            <rFont val="Tahoma"/>
            <family val="2"/>
          </rPr>
          <t>Sridharan Govind:</t>
        </r>
        <r>
          <rPr>
            <sz val="9"/>
            <color indexed="81"/>
            <rFont val="Tahoma"/>
            <family val="2"/>
          </rPr>
          <t xml:space="preserve">
zählt nur die erlaubten 5% (Basis: 80%)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Govind Sridharan</author>
  </authors>
  <commentList>
    <comment ref="C255" authorId="0" shapeId="0" xr:uid="{00000000-0006-0000-0600-000001000000}">
      <text>
        <r>
          <rPr>
            <b/>
            <sz val="9"/>
            <color rgb="FF000000"/>
            <rFont val="Calibri"/>
            <family val="2"/>
          </rPr>
          <t>Bitte Datum des Antrags eingeben (Eingang Dossier bei der ZK)</t>
        </r>
        <r>
          <rPr>
            <sz val="9"/>
            <color rgb="FF000000"/>
            <rFont val="Calibri"/>
            <family val="2"/>
          </rPr>
          <t xml:space="preserve">
</t>
        </r>
        <r>
          <rPr>
            <sz val="9"/>
            <color rgb="FF000000"/>
            <rFont val="Calibri"/>
            <family val="2"/>
          </rPr>
          <t xml:space="preserve">Format:
</t>
        </r>
        <r>
          <rPr>
            <sz val="9"/>
            <color rgb="FF000000"/>
            <rFont val="Calibri"/>
            <family val="2"/>
          </rPr>
          <t>dd.mm.jjjj</t>
        </r>
      </text>
    </comment>
    <comment ref="C258" authorId="0" shapeId="0" xr:uid="{00000000-0006-0000-0600-000002000000}">
      <text>
        <r>
          <rPr>
            <b/>
            <sz val="9"/>
            <color rgb="FF000000"/>
            <rFont val="Calibri"/>
            <family val="2"/>
          </rPr>
          <t>Bitte eingeben:</t>
        </r>
        <r>
          <rPr>
            <sz val="9"/>
            <color rgb="FF000000"/>
            <rFont val="Calibri"/>
            <family val="2"/>
          </rPr>
          <t xml:space="preserve">
</t>
        </r>
        <r>
          <rPr>
            <sz val="9"/>
            <color rgb="FF000000"/>
            <rFont val="Calibri"/>
            <family val="2"/>
          </rPr>
          <t xml:space="preserve">Offizieller Name des Spitals
</t>
        </r>
        <r>
          <rPr>
            <sz val="9"/>
            <color rgb="FF000000"/>
            <rFont val="Calibri"/>
            <family val="2"/>
          </rPr>
          <t>z.B.: Universitätsspital Zürich (USZ)</t>
        </r>
      </text>
    </comment>
    <comment ref="C259" authorId="0" shapeId="0" xr:uid="{00000000-0006-0000-0600-000003000000}">
      <text>
        <r>
          <rPr>
            <b/>
            <sz val="9"/>
            <color rgb="FF000000"/>
            <rFont val="Calibri"/>
            <family val="2"/>
          </rPr>
          <t>Bitte eingeben:</t>
        </r>
        <r>
          <rPr>
            <sz val="9"/>
            <color rgb="FF000000"/>
            <rFont val="Calibri"/>
            <family val="2"/>
          </rPr>
          <t xml:space="preserve">
</t>
        </r>
        <r>
          <rPr>
            <sz val="9"/>
            <color rgb="FF000000"/>
            <rFont val="Calibri"/>
            <family val="2"/>
          </rPr>
          <t xml:space="preserve">Offizieller Name der Station
</t>
        </r>
        <r>
          <rPr>
            <sz val="9"/>
            <color rgb="FF000000"/>
            <rFont val="Calibri"/>
            <family val="2"/>
          </rPr>
          <t>z.B. Interdisziplinäre Intensivstation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Sridharan Govind</author>
    <author>Govind Sridharan</author>
  </authors>
  <commentList>
    <comment ref="R42" authorId="0" shapeId="0" xr:uid="{00000000-0006-0000-0800-000001000000}">
      <text>
        <r>
          <rPr>
            <b/>
            <sz val="9"/>
            <color indexed="81"/>
            <rFont val="Tahoma"/>
            <family val="2"/>
          </rPr>
          <t xml:space="preserve">Sridharan Govind:
</t>
        </r>
        <r>
          <rPr>
            <sz val="9"/>
            <color indexed="81"/>
            <rFont val="Tahoma"/>
            <family val="2"/>
          </rPr>
          <t>Angepasst am 02.05.2019</t>
        </r>
      </text>
    </comment>
    <comment ref="S42" authorId="0" shapeId="0" xr:uid="{00000000-0006-0000-0800-000002000000}">
      <text>
        <r>
          <rPr>
            <b/>
            <sz val="9"/>
            <color indexed="81"/>
            <rFont val="Tahoma"/>
            <family val="2"/>
          </rPr>
          <t xml:space="preserve">Sridharan Govind:
</t>
        </r>
        <r>
          <rPr>
            <sz val="9"/>
            <color indexed="81"/>
            <rFont val="Tahoma"/>
            <family val="2"/>
          </rPr>
          <t>Angepasst am 02.05.2019</t>
        </r>
      </text>
    </comment>
    <comment ref="R64" authorId="1" shapeId="0" xr:uid="{00000000-0006-0000-0800-000003000000}">
      <text>
        <r>
          <rPr>
            <b/>
            <sz val="10"/>
            <color rgb="FF000000"/>
            <rFont val="Tahoma"/>
            <family val="2"/>
          </rPr>
          <t>Govind Sridharan:</t>
        </r>
        <r>
          <rPr>
            <sz val="10"/>
            <color rgb="FF000000"/>
            <rFont val="Tahoma"/>
            <family val="2"/>
          </rPr>
          <t xml:space="preserve">
</t>
        </r>
        <r>
          <rPr>
            <sz val="10"/>
            <color rgb="FF000000"/>
            <rFont val="Tahoma"/>
            <family val="2"/>
          </rPr>
          <t xml:space="preserve">changé avec norme SIA le 01.10.2019.
</t>
        </r>
        <r>
          <rPr>
            <sz val="10"/>
            <color rgb="FF000000"/>
            <rFont val="Tahoma"/>
            <family val="2"/>
          </rPr>
          <t xml:space="preserve">
</t>
        </r>
        <r>
          <rPr>
            <sz val="10"/>
            <color rgb="FF000000"/>
            <rFont val="Tahoma"/>
            <family val="2"/>
          </rPr>
          <t xml:space="preserve">Version d'avant:
</t>
        </r>
        <r>
          <rPr>
            <sz val="10"/>
            <color rgb="FF000000"/>
            <rFont val="Tahoma"/>
            <family val="2"/>
          </rPr>
          <t xml:space="preserve">
</t>
        </r>
        <r>
          <rPr>
            <sz val="10"/>
            <color rgb="FF000000"/>
            <rFont val="Tahoma"/>
            <family val="2"/>
          </rPr>
          <t xml:space="preserve">Die Bruttofläche pro Bett beträgt mindestens 40 m2. 
</t>
        </r>
        <r>
          <rPr>
            <sz val="10"/>
            <color rgb="FF000000"/>
            <rFont val="Tahoma"/>
            <family val="2"/>
          </rPr>
          <t xml:space="preserve">
</t>
        </r>
        <r>
          <rPr>
            <sz val="10"/>
            <color rgb="FF000000"/>
            <rFont val="Tahoma"/>
            <family val="2"/>
          </rPr>
          <t xml:space="preserve">Die Brutto-Gesamtfläche der IS ist definiert als die Bruttofläche von 40 m2 mal die Anzahl der maximal pro Schicht betreibbaren Betten (inklusive Gänge und Nebenräume).
</t>
        </r>
        <r>
          <rPr>
            <sz val="10"/>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Sridharan Govind</author>
  </authors>
  <commentList>
    <comment ref="H11" authorId="0" shapeId="0" xr:uid="{00000000-0006-0000-0A00-000001000000}">
      <text>
        <r>
          <rPr>
            <b/>
            <sz val="9"/>
            <color indexed="81"/>
            <rFont val="Tahoma"/>
            <family val="2"/>
          </rPr>
          <t>Sridharan Govind:</t>
        </r>
        <r>
          <rPr>
            <sz val="9"/>
            <color indexed="81"/>
            <rFont val="Tahoma"/>
            <family val="2"/>
          </rPr>
          <t xml:space="preserve">
laut Dioskussion ZK-2017_05</t>
        </r>
      </text>
    </comment>
  </commentList>
</comments>
</file>

<file path=xl/sharedStrings.xml><?xml version="1.0" encoding="utf-8"?>
<sst xmlns="http://schemas.openxmlformats.org/spreadsheetml/2006/main" count="3952" uniqueCount="2607">
  <si>
    <t>Merkmale einer IS und Kennzahlen</t>
  </si>
  <si>
    <t>Allgemeine Organisation</t>
  </si>
  <si>
    <t>Dokument</t>
  </si>
  <si>
    <t>Visitation</t>
  </si>
  <si>
    <t>Alle Unterlagen müssen entweder elektronisch oder als physikalisch vorhandene Kopie verfügbar sein.</t>
  </si>
  <si>
    <t xml:space="preserve">Alle Unterlagen bleiben bei internen Verlegungen beim Patienten und/oder sind für die Nachbetreuenden verfügbar.  </t>
  </si>
  <si>
    <t xml:space="preserve">Bei Verlegungen von Patienten der IS in ein anderes Spital werden ein aktueller Bericht sowie Kopien aller relevanten Befunde und Dokumente mitgegeben. </t>
  </si>
  <si>
    <t>Datenerfassung</t>
  </si>
  <si>
    <t>Die Verantwortlichen der IS erfassen Daten gemäss den Vorgaben des MDSi der SGI.</t>
  </si>
  <si>
    <t>Die Strukturdaten des vergangenen Jahres sind bis spätestens 28. Februar auf dem zentralen Server.</t>
  </si>
  <si>
    <t>Bettenzahl</t>
  </si>
  <si>
    <t>Beschreibung</t>
  </si>
  <si>
    <t>Muss Kriterium</t>
  </si>
  <si>
    <t>Kann Kriterium</t>
  </si>
  <si>
    <t>Alle Patienten, die auf der IS behandelt werden, inklusive Patienten nach Schlaganfall oder zukünftig andere Gruppen, werden nach den Kriterien des MDSi kategorisiert und statistisch erfasst.</t>
  </si>
  <si>
    <t>Visitation, Organisationsreglement</t>
  </si>
  <si>
    <t xml:space="preserve">MDSi      </t>
  </si>
  <si>
    <t>MDSi</t>
  </si>
  <si>
    <t>Aufwachpatienten dürfen nur zu Randzeiten auf der IS behandelt werden.</t>
  </si>
  <si>
    <t xml:space="preserve">Visitation </t>
  </si>
  <si>
    <t>Aufwachpatienten dürfen nicht im MDSi als Intensivpatienten erfasst werden.</t>
  </si>
  <si>
    <t>Räumliche/architektonische Anforderungen</t>
  </si>
  <si>
    <t>Lokalisation im Spital und Lärm</t>
  </si>
  <si>
    <t>Pläne, Visitation</t>
  </si>
  <si>
    <t>Baudokumentation, Gerätedokumentation, Visitation</t>
  </si>
  <si>
    <t>Zugang und Besuch</t>
  </si>
  <si>
    <t>Ein Besuchsreglement ist vorhanden. Es erklärt und regelt Zeiten und Besuchs-limitationen.</t>
  </si>
  <si>
    <t>Es gibt eine Anmeldevorrichtung für Besucher.</t>
  </si>
  <si>
    <t>Flächen und Distanzen</t>
  </si>
  <si>
    <t>Fläche pro Bett</t>
  </si>
  <si>
    <t>Pläne, Dokumentation</t>
  </si>
  <si>
    <t>Einzelzimmer</t>
  </si>
  <si>
    <t>2.3.1</t>
  </si>
  <si>
    <t>2.3.2</t>
  </si>
  <si>
    <t>2.3.3</t>
  </si>
  <si>
    <t>Gebäudeinstallation und Brandschutz</t>
  </si>
  <si>
    <t>Die Leitung der IS legt ein unterzeichnetes Dokument der zuständigen Spitalstellen vor, worin das Einhalten der obigen Normen und Richtlinien in der Version zum Zeitpunkt des Baus bzw. des Umbaus bestätigt wird.</t>
  </si>
  <si>
    <t>Dokument, Visitation</t>
  </si>
  <si>
    <t>In Patientenzimmern ist mindestens der Wärme- und Klima-Standard für Räume mit erhöhten hygienischen Ansprüchen gemäss SWKI Richtlinien umgesetzt.</t>
  </si>
  <si>
    <t>Räumlichkeiten und Einrichtungen</t>
  </si>
  <si>
    <t>Patientenzimmer</t>
  </si>
  <si>
    <t xml:space="preserve">Jedes Zimmer soll einen Blick nach aussen ermöglichen, um den Patienten die räumliche Orientierung zu erleichtern. </t>
  </si>
  <si>
    <t>Die Armaturen für Kalt- und Warmwasser verfügen über Ellbogen-,  Fusspedal- oder Sensorbedienung. Seifenspender, Desinfektionsmittelspender und Ab-trocknungspapierspender müssen beim Lavabo vorhanden sein.</t>
  </si>
  <si>
    <t>Alle Patientenzimmeroberflächen sind desinfektionsfähig, schalldämmend, ab-waschbar, die Böden zusätzlich leicht befahrbar und rutschhemmend.</t>
  </si>
  <si>
    <t>Warmluft- und/oder Gebläse-Händetrockner sind nicht erlaubt.</t>
  </si>
  <si>
    <t>2.5.1</t>
  </si>
  <si>
    <t>Überwachung des Patienten</t>
  </si>
  <si>
    <t>Visitation, Dokumentation</t>
  </si>
  <si>
    <t>Die Einzelmonitore sind in einer oder mehreren Zentralen integriert.</t>
  </si>
  <si>
    <t>Es besteht ein Data-Backup- und ein Alarmaufzeichnungssystem der Monitordaten.</t>
  </si>
  <si>
    <t xml:space="preserve">Das Personal muss sicherstellen, dass jederzeit Sichtkontakt zu den Patienten besteht. </t>
  </si>
  <si>
    <t>Ein Dokument regelt die Anwesenheitspflicht bei den nicht einsehbaren Patienten, oder es ist eine Videoüberwachung installiert mit schriftlichen Verantwortungsregeln für die Überwachung des Bildschirms.</t>
  </si>
  <si>
    <t>Einrichtungen und Nebenräume (Grösse und Umfang abhängig von der Grösse der Station)</t>
  </si>
  <si>
    <t>Pläne, Dokumentation, Visitation</t>
  </si>
  <si>
    <t>Infusionslager</t>
  </si>
  <si>
    <t>Lavabos</t>
  </si>
  <si>
    <t>Betrachtungsmöglichkeiten für Bilddokumente</t>
  </si>
  <si>
    <t>Arztbüro</t>
  </si>
  <si>
    <t>Pflegebüro</t>
  </si>
  <si>
    <t>Toiletten</t>
  </si>
  <si>
    <t>Ausguss/güsse: abgetrennte Räumlichkeit ohne Durchgangsverkehr</t>
  </si>
  <si>
    <t>Besprechungsraum</t>
  </si>
  <si>
    <t>Wartezimmer /-zone beim Eingang für Besucher (Anzahl Sitzplätze = maximale Bettenzahl / 2 + 2)</t>
  </si>
  <si>
    <t>Aufenthaltsraum für Personal</t>
  </si>
  <si>
    <t>Personalgarderobe (muss nicht auf dem Areal der IS sein)</t>
  </si>
  <si>
    <t>2.5.2</t>
  </si>
  <si>
    <t>2.5.3</t>
  </si>
  <si>
    <t>Einrichtung des Patientenplatzes</t>
  </si>
  <si>
    <t>Patientenbett</t>
  </si>
  <si>
    <t>Das Patientenbett erlaubt Veränderung der Lage des Patienten im Raum in drei Abschnitten: Kopfteil, Mittelteil und Fussende, sowie alle drei Abschnitte gemeinsam.</t>
  </si>
  <si>
    <t>Das Bett muss eine externe Herzmassage erlauben.</t>
  </si>
  <si>
    <t>Anordnung des Bettes im Raum und Abtrennung</t>
  </si>
  <si>
    <t>Das Bett ist im Bedarfsfall von allen Seiten her zugänglich.</t>
  </si>
  <si>
    <t>In Mehrbettzimmern sind flexible Trennvorrichtungen, die leicht und schnell zu öffnen sind, installiert (fixe Installation oder variabel).</t>
  </si>
  <si>
    <t>Minimalinstallationen am Bettplatz</t>
  </si>
  <si>
    <t>12 Steckdosen</t>
  </si>
  <si>
    <t>2 Sauerstoffanschlüsse</t>
  </si>
  <si>
    <t>1 Druckluftanschluss</t>
  </si>
  <si>
    <t>2 Vakuumanschlüsse</t>
  </si>
  <si>
    <t>Präsenzlicht mit Alarm</t>
  </si>
  <si>
    <t>Telefonanschluss</t>
  </si>
  <si>
    <t>Radio- und Fernsehanschluss mit Kopfhörer</t>
  </si>
  <si>
    <t>Einrichtungen am Bettplatz</t>
  </si>
  <si>
    <t>Personal</t>
  </si>
  <si>
    <t>Ärztlicher Dienst</t>
  </si>
  <si>
    <t>Der ärztliche Leiter</t>
  </si>
  <si>
    <t>Reglement und Visitation</t>
  </si>
  <si>
    <t>Die administrative Verantwortung umfasst die allgemeine Organisation der IS sowie die Verbindungen mit den medizinischen und administrativen Gremien des Spitals, der SGI, der Dachorganisation, der FMH und weiteren Gremien.</t>
  </si>
  <si>
    <t>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t>
  </si>
  <si>
    <t xml:space="preserve">Er ist verantwortlich für die intensivmedizinischen Behandlungs-Richtlinien und deren Umsetzung. </t>
  </si>
  <si>
    <t xml:space="preserve">Der ärztliche Leiter oder die von ihm bezeichneten für die IS zuständigen Ärzte sind verantwortlich für die Bettendisposition der IS und entscheiden über Aufnahme und Entlassung von Patienten. </t>
  </si>
  <si>
    <t>Der ärztliche Leiter ist für die Organisation und Durchführung der Weiter- und Fortbildung von Ärzteschaft und Pflegepersonal der IS mitverantwortlich und daran mitbeteiligt.</t>
  </si>
  <si>
    <t>Der ärztliche Leiter ist in dieser Funktion unbefristet angestellt. In einem Rotationssystem sind Leitungswechsel höchstens alle 3 Jahre erlaubt.</t>
  </si>
  <si>
    <t>4.1.1</t>
  </si>
  <si>
    <t>Der ärztliche Leiter muss einen Stellvertreter mit einem eidgenössischen Facharzttitel (oder einer Äquivalenzbescheinigung) Intensivmedizin oder Anästhesie/Innere Medizin/Chirurgie/Pädiatrie, mit mindestens 6 Monaten dokumentierter Weiterbildungszeit in Intensivmedizin haben.</t>
  </si>
  <si>
    <t>Dienstorganisation</t>
  </si>
  <si>
    <t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t>
  </si>
  <si>
    <t>Assistenz-, Ober- und/oder Kaderärzte, Fachärzte</t>
  </si>
  <si>
    <t>Alle Ärzte der IS sind dem ärztlichen Leiter der IS und den zuständigen Kaderärzten der IS in jedem Fall fachlich und führungsmässig direkt unterstellt.</t>
  </si>
  <si>
    <t>Ärzte in Weiterbildung haben Anrecht auf das Ausstellen der zutreffenden Zeugnisformulare gemäss Weiterbildungsordnung der FMH und entsprechender Weiterbildungsprogramme der Fachgesellschaften.</t>
  </si>
  <si>
    <t>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t>
  </si>
  <si>
    <t>Assistenzärzte sind der IS für eine Zeitdauer von mindestens 3 Monaten zugeteilt.</t>
  </si>
  <si>
    <t>Hintergrunddienst</t>
  </si>
  <si>
    <t>4.1.5 </t>
  </si>
  <si>
    <t>Konsiliardienste</t>
  </si>
  <si>
    <t>Je ein Vertreter jeder Grunddisziplin (Anästhesie, Innere Medizin bzw. Pädiatrie, Chirurgie bzw. Kinderchirurgie, Gynäkologie, Radiologie) muss jederzeit für Konsilien verfügbar sein.</t>
  </si>
  <si>
    <t>4.1.6 </t>
  </si>
  <si>
    <t>Ärztliche Verordnungen</t>
  </si>
  <si>
    <t>Ärztliche Verordnungen werden in schriftlicher oder elektronischer Form abgegeben.</t>
  </si>
  <si>
    <t>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t>
  </si>
  <si>
    <t>Pflegepersonal (siehe auch Tabelle zur Pflegestellenberechnung)</t>
  </si>
  <si>
    <t>Pflegeleitung</t>
  </si>
  <si>
    <t>Die nicht patientengebundene Arbeit, die durch die Pflegekader oder andere Angehörige des Pflegeteams der IS erbracht wird, ist in den obigen Zahlen nicht enthalten. Der Anteil der nicht patientengebundenen Arbeit bei allen Kadern muss ausgewiesen werden.</t>
  </si>
  <si>
    <t>Alle im Instruktionsdienst tätigen Pflegepersonen zählen nur für ihre Tätigkeit in der direkten Pflege am Bett zu den oben genannten Zahlen. Das geplante Verhältnis muss ausgewiesen werden.</t>
  </si>
  <si>
    <t>Qualifikation</t>
  </si>
  <si>
    <t>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t>
  </si>
  <si>
    <t>Werden Fachangestellte Gesundheit (FaGe) in der IS eingesetzt, darf ihr Stellenanteil 5% des Gesamtbedarfs an Pflegestellen nicht überschreiten. Sind mehr als 5% FaGe angestellt, wird der Anteil &gt;5% der Gruppe Hilfspersonal zugeordnet.</t>
  </si>
  <si>
    <t>Physiotherapie, Ergotherapie und Logopädie</t>
  </si>
  <si>
    <t>Je nach Patientengut muss eine IS Zugriff auf ergotherapeutische und logopädische Fachkompetenz nachweisen können.</t>
  </si>
  <si>
    <t>Hilfspersonal</t>
  </si>
  <si>
    <t>4.5 </t>
  </si>
  <si>
    <t>Technisches Personal</t>
  </si>
  <si>
    <t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t>
  </si>
  <si>
    <t>Sekretariat</t>
  </si>
  <si>
    <t>Pro 6 Betten mindestens 50%-Vollzeitäquivalent (bei aoIS 30% entsprechend den reduzierten Leistungszahlen).</t>
  </si>
  <si>
    <t>Diagnostik und Monitoring</t>
  </si>
  <si>
    <t>Laboruntersuchungen</t>
  </si>
  <si>
    <t>Ein Notfalllabor muss rund um die Uhr verfügbar sein.</t>
  </si>
  <si>
    <t xml:space="preserve">Sämtliche für die Behandlung der jeweiligen Patienten Laborleistungen (Chemie, Hämatologie) müssen entweder intern oder extern und zeitgerecht verfügbar sein. </t>
  </si>
  <si>
    <t>Mikrobiologische Untersuchungen inklusive Antibiotikaresistenzprüfungen, sowie Serologien und Virennachweise müssen intern oder extern zeitgerecht zur Verfügung stehen.</t>
  </si>
  <si>
    <t>Falls die IS ein eigenes Laborgerät betreibt, müssen die Vorgaben der Schweizerischen Kommission für Qualitätssicherung im medizinischen Labor eingehalten werden, die auf dem Krankenversicherungsgesetz (KVG) Artikel 58 und Artikel 77 der zugehörigen Verordnungen (KVV) basieren.</t>
  </si>
  <si>
    <t>Radiologie</t>
  </si>
  <si>
    <t>Konventionelle Röntgenaufnahmen von Thorax und Abdomen müssen auf der IS durchgeführt werden können.</t>
  </si>
  <si>
    <t>Ein Computertomograph muss innerhalb des Spitals kontinuierlich zur Verfügung stehen. Die Befundung der Computertomogramme muss sichergestellt sein.</t>
  </si>
  <si>
    <t>Notwendige Überwachungsgeräte (Monitoring)</t>
  </si>
  <si>
    <t>Die vorhandenen und eingesetzten Monitoringmethoden entsprechen generell dem Patientengut der Station in Art und Schweregrad der Erkrankung.</t>
  </si>
  <si>
    <t>Notwendige Einrichtungen für Therapien</t>
  </si>
  <si>
    <t>Die Anzahl und Art der Therapiegeräte entspricht dem Patientengut in Art und Schweregrad der Erkrankung.</t>
  </si>
  <si>
    <t>Transporte</t>
  </si>
  <si>
    <t>Verlegung</t>
  </si>
  <si>
    <t>Patienten, die auf der IS aus personellen, materiellen oder fachlichen Gründen nicht adäquat versorgt werden können, müssen innert nützlicher Frist und in möglichst stabilisiertem Zustand in entsprechend ausgerüstete Zentren verlegt werden.</t>
  </si>
  <si>
    <t>Transportbegleitung</t>
  </si>
  <si>
    <t>Die Transportbegleitung muss durch qualifiziertes Personal mit entsprechender Ausbildung und Ausrüstung erfolgen, sodass jede Störung der Vitalfunktionen rechtzeitig erkannt und behandelt werden kann.</t>
  </si>
  <si>
    <t>Lehre und Forschung</t>
  </si>
  <si>
    <t>Fortbildung Pflege</t>
  </si>
  <si>
    <t>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t>
  </si>
  <si>
    <t>Visitation, Dokument</t>
  </si>
  <si>
    <t>Fortbildung Ärzte</t>
  </si>
  <si>
    <t>Die Fortbildung der Ärzte mit FMH Intensivmedizin ist im Fortbildungsprogramm der SGI geregelt. Anerkannte Intensivstationen müssen ihrer Ärzteschaft diese Fortbildungsaktivitäten ermöglichen.</t>
  </si>
  <si>
    <t>Andere ärztliche Weiterbildungsprogramme</t>
  </si>
  <si>
    <t>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t>
  </si>
  <si>
    <t>Forschung</t>
  </si>
  <si>
    <t>Die IS beteiligen sich angemessen an Forschungsvorhaben. Insbesondere nehmen sie auch im Rahmen ihrer Möglichkeiten an Forschungsprojekten teil, welche durch die SGI unterstützt werden.</t>
  </si>
  <si>
    <t>Weitere Vorgaben</t>
  </si>
  <si>
    <t>Gesetzliche Grundlagen</t>
  </si>
  <si>
    <t xml:space="preserve">Die Station muss Methoden der Qualitätssicherung demonstrieren können (z.B. ein Critical Incident Reporting System [CIRS]). </t>
  </si>
  <si>
    <t>Richtlinien und Evidence Based Medicine</t>
  </si>
  <si>
    <t>Die IS beachtet die Prinzipien einer evidenzbasierten Medizin in ihren Behandlungskonzepten und anerkannte Richtlinien (z.B. der SGI oder SAMW). Es werden regelmässig Fallbesprechungen durchgeführt.</t>
  </si>
  <si>
    <t xml:space="preserve">Ethik </t>
  </si>
  <si>
    <t>Die IS verfügt über ein Konzept über ethische Entscheidungsfindung.</t>
  </si>
  <si>
    <t>4.1.2</t>
  </si>
  <si>
    <t>4.1.3</t>
  </si>
  <si>
    <t>4.1.4</t>
  </si>
  <si>
    <t>4.2.1</t>
  </si>
  <si>
    <t>4.2.2</t>
  </si>
  <si>
    <t>Dokumentation via</t>
  </si>
  <si>
    <t>1.1.1</t>
  </si>
  <si>
    <t>1.1.2</t>
  </si>
  <si>
    <t>1.1.3</t>
  </si>
  <si>
    <t>1.1.4</t>
  </si>
  <si>
    <t>1.1.5</t>
  </si>
  <si>
    <t>1.1.6</t>
  </si>
  <si>
    <t>1.1.7</t>
  </si>
  <si>
    <t>1.2.1</t>
  </si>
  <si>
    <t>1.2.2</t>
  </si>
  <si>
    <t>1.3.1</t>
  </si>
  <si>
    <t>1.3.2</t>
  </si>
  <si>
    <t>1.4.1</t>
  </si>
  <si>
    <t>1.4.2</t>
  </si>
  <si>
    <t>1.4.3</t>
  </si>
  <si>
    <t>1.4.4</t>
  </si>
  <si>
    <t>1.4.5</t>
  </si>
  <si>
    <t>1.4.6</t>
  </si>
  <si>
    <t>1.4.7</t>
  </si>
  <si>
    <t>1.4.8</t>
  </si>
  <si>
    <t>2.1.1</t>
  </si>
  <si>
    <t>2.1.2</t>
  </si>
  <si>
    <t>2.1.3</t>
  </si>
  <si>
    <t>2.2.1</t>
  </si>
  <si>
    <t>2.2.2</t>
  </si>
  <si>
    <t>2.2.3</t>
  </si>
  <si>
    <t>2.3.1.1</t>
  </si>
  <si>
    <t>2.3.1.2</t>
  </si>
  <si>
    <t>2.3.1.3</t>
  </si>
  <si>
    <t>2.3.2.1</t>
  </si>
  <si>
    <t>2.4.1</t>
  </si>
  <si>
    <t>2.4.2</t>
  </si>
  <si>
    <t>2.4.3</t>
  </si>
  <si>
    <t>2.4.4</t>
  </si>
  <si>
    <t>2.5.1.1</t>
  </si>
  <si>
    <t>2.5.1.2</t>
  </si>
  <si>
    <t>2.5.1.3</t>
  </si>
  <si>
    <t>2.5.1.4</t>
  </si>
  <si>
    <t>2.5.1.5</t>
  </si>
  <si>
    <t>2.5.1.6</t>
  </si>
  <si>
    <t>2.5.1.7</t>
  </si>
  <si>
    <t>2.5.2.1</t>
  </si>
  <si>
    <t>2.5.2.2</t>
  </si>
  <si>
    <t>2.5.2.3</t>
  </si>
  <si>
    <t>2.5.2.4</t>
  </si>
  <si>
    <t>2.5.2.5</t>
  </si>
  <si>
    <t>2.5.3.1</t>
  </si>
  <si>
    <t>2.5.3.2</t>
  </si>
  <si>
    <t>2.5.3.3</t>
  </si>
  <si>
    <t>2.5.3.4</t>
  </si>
  <si>
    <t>2.5.3.5</t>
  </si>
  <si>
    <t>2.5.3.6</t>
  </si>
  <si>
    <t>2.5.3.7</t>
  </si>
  <si>
    <t>2.5.3.8</t>
  </si>
  <si>
    <t>2.5.3.9</t>
  </si>
  <si>
    <t>2.5.3.10</t>
  </si>
  <si>
    <t>2.5.3.11</t>
  </si>
  <si>
    <t>2.5.3.12</t>
  </si>
  <si>
    <t>2.5.3.13</t>
  </si>
  <si>
    <t>2.5.3.14</t>
  </si>
  <si>
    <t>2.5.3.15</t>
  </si>
  <si>
    <t>2.5.3.16</t>
  </si>
  <si>
    <t>3.1.1</t>
  </si>
  <si>
    <t>3.1.2</t>
  </si>
  <si>
    <t>3.1.3</t>
  </si>
  <si>
    <t>3.2.1</t>
  </si>
  <si>
    <t>3.2.2</t>
  </si>
  <si>
    <t>3.2.3</t>
  </si>
  <si>
    <t>3.3.1</t>
  </si>
  <si>
    <t>3.3.2</t>
  </si>
  <si>
    <t>3.3.3</t>
  </si>
  <si>
    <t>3.3.4</t>
  </si>
  <si>
    <t>3.3.5</t>
  </si>
  <si>
    <t>3.3.6</t>
  </si>
  <si>
    <t>3.3.7</t>
  </si>
  <si>
    <t>3.3.8</t>
  </si>
  <si>
    <t>3.3.9</t>
  </si>
  <si>
    <t>3.4.1</t>
  </si>
  <si>
    <t>3.4.2</t>
  </si>
  <si>
    <t>3.4.3</t>
  </si>
  <si>
    <t>3.4.4</t>
  </si>
  <si>
    <t>4.1.1.1</t>
  </si>
  <si>
    <t>4.1.1.2</t>
  </si>
  <si>
    <t>4.1.1.3</t>
  </si>
  <si>
    <t>4.1.1.4</t>
  </si>
  <si>
    <t>4.1.1.5</t>
  </si>
  <si>
    <t>4.1.1.6</t>
  </si>
  <si>
    <t>4.1.1.7</t>
  </si>
  <si>
    <t>4.1.1.8</t>
  </si>
  <si>
    <t>4.1.1.9</t>
  </si>
  <si>
    <t>4.1.1.10</t>
  </si>
  <si>
    <t>4.1.2.1</t>
  </si>
  <si>
    <t>4.1.2.2</t>
  </si>
  <si>
    <t>4.1.3.1</t>
  </si>
  <si>
    <t>4.1.3.2</t>
  </si>
  <si>
    <t>4.1.3.3</t>
  </si>
  <si>
    <t>4.1.3.4</t>
  </si>
  <si>
    <t>4.1.4.1</t>
  </si>
  <si>
    <t>4.1.5.1</t>
  </si>
  <si>
    <t>4.1.6.1</t>
  </si>
  <si>
    <t>4.1.6.2</t>
  </si>
  <si>
    <t>4.2.1.2</t>
  </si>
  <si>
    <t>4.2.1.3</t>
  </si>
  <si>
    <t>4.2.1.4</t>
  </si>
  <si>
    <t>4.2.1.5</t>
  </si>
  <si>
    <t>4.2.2.1</t>
  </si>
  <si>
    <t>4.3.1</t>
  </si>
  <si>
    <t>4.3.2</t>
  </si>
  <si>
    <t>4.4.1</t>
  </si>
  <si>
    <t>4.5.1</t>
  </si>
  <si>
    <t>4.6.1</t>
  </si>
  <si>
    <t>5.1.1</t>
  </si>
  <si>
    <t>5.1.2</t>
  </si>
  <si>
    <t>5.1.3</t>
  </si>
  <si>
    <t>5.1.4</t>
  </si>
  <si>
    <t>5.2.1</t>
  </si>
  <si>
    <t>5.2.2</t>
  </si>
  <si>
    <t>5.3.1</t>
  </si>
  <si>
    <t>5.4.1</t>
  </si>
  <si>
    <t>5.4.2</t>
  </si>
  <si>
    <t>6.1</t>
  </si>
  <si>
    <t>6.2</t>
  </si>
  <si>
    <t>7.1.1</t>
  </si>
  <si>
    <t>7.2.1</t>
  </si>
  <si>
    <t>8.1.1</t>
  </si>
  <si>
    <t>8.2.1</t>
  </si>
  <si>
    <t>8.3.1</t>
  </si>
  <si>
    <t>8.4.1</t>
  </si>
  <si>
    <t>9.1.1</t>
  </si>
  <si>
    <t>9.2.1</t>
  </si>
  <si>
    <t>9.3.1</t>
  </si>
  <si>
    <t>2.3.3.1</t>
  </si>
  <si>
    <t>2.1.4</t>
  </si>
  <si>
    <t>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t>
  </si>
  <si>
    <t>4.2.1.6</t>
  </si>
  <si>
    <t>4.2.1.7</t>
  </si>
  <si>
    <t>Die ausgewiesene Minimalzeit für Kaderfunktionen (auch verteilt auf mehrere Personen) beträgt 80%-Vollzeitäquivalent für 6 Betten plus 10% für jedes zusätzliche Bett.</t>
  </si>
  <si>
    <t>Pflegeexperte</t>
  </si>
  <si>
    <t>Ein Pflegeexperte mit einem Masterabschluss Pflege einer Fachhochschule oder Universität (Schweizer Bildungssystematik) [1 Punkt] und dem Diplom Experte Intensivpflege NDS HF [plus 1 Punkt] steht entsprechend der Grösse der Station zur Verfügung.</t>
  </si>
  <si>
    <t>4.2.3</t>
  </si>
  <si>
    <t>Minimalbestand an besetzten Pflegestellen Vollzeit (FTE)</t>
  </si>
  <si>
    <t>4.2.3.1</t>
  </si>
  <si>
    <t>4.2.3.2</t>
  </si>
  <si>
    <t>4.2.3.3</t>
  </si>
  <si>
    <t>4.2.3.4</t>
  </si>
  <si>
    <t>4.2.3.5</t>
  </si>
  <si>
    <t>4.2.1.1</t>
  </si>
  <si>
    <t>4.2.4</t>
  </si>
  <si>
    <t>4.2.4.1</t>
  </si>
  <si>
    <t>4.2.4.2</t>
  </si>
  <si>
    <t>4.2.4.3</t>
  </si>
  <si>
    <t>Die administrative Verantwortung umfasst die allgemeine Organisation der IS sowie die Verbindungen mit den Pflege- und administrativen Gremien des Spitals, der SGI, des SBK und anderen Gremien (zum Teil gemeinsam mit dem ärztlichen Leiter).</t>
  </si>
  <si>
    <t>Die intensivpflegerische Behandlung aller Patienten der IS erfolgt unter der Leitung und Verantwortung der Pflegeleitung. Diese kann Aufgaben sowohl an ihre Mitarbeiter als auch an Pflegende ausserhalb der IS delegieren.</t>
  </si>
  <si>
    <t>Verantwortlich für Weiter- und Fortbildung des Pflege- und Pflegehilfs-Personal der IS und daran mitbeteiligt.</t>
  </si>
  <si>
    <t>0= nicht erfüllt
1= erfüllt</t>
  </si>
  <si>
    <t>0= nicht erfüllt
1= teilweise erfüllt
2= vollständig erfüllt</t>
  </si>
  <si>
    <t>Material- und Geräteräume angepasst an die Grösse der Station</t>
  </si>
  <si>
    <t>Patienten, Kategorisierung/Schweregrad und Pflegetage</t>
  </si>
  <si>
    <t>Fachlich und administrativ verantwortlich für die Pflege auf der IS (zum Teil gemeinsam mit der ärztlichen Leitung)</t>
  </si>
  <si>
    <t>Medizinisch und administrativ verantwortlich für die IS (zum Teil gemeinsam mit der pflegerischen Leitung)</t>
  </si>
  <si>
    <t>Variable Beleuchtungsstärken pro Bettenplatz von Nachtbeleuchtung bis sehr hell (1000 Lux)</t>
  </si>
  <si>
    <t>Abschliessbare Fächer für jeden im Einsatz stehenden Mitarbeiter (kann in Garderobe integriert sein, wenn die Garderobe unmittelbar bei oder in der IS lokalisiert ist)</t>
  </si>
  <si>
    <t>Vorbereitungseinrichtungen und -plätze für Medikamente, Infusionen und Perfusoren</t>
  </si>
  <si>
    <t>Kühlschränke für Medikamente und Blutprodukte</t>
  </si>
  <si>
    <t>Medikamentenaufbewahrungs- und Lagersysteme</t>
  </si>
  <si>
    <t>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t>
  </si>
  <si>
    <t>Der Aufwachraum ist örtlich und organisatorisch von der IS getrennt</t>
  </si>
  <si>
    <t>Minimale Anzahl betriebener Betten: 6</t>
  </si>
  <si>
    <t>Bemerkungen - Selbstdeklaration</t>
  </si>
  <si>
    <t>Selbstdeklaration</t>
  </si>
  <si>
    <t>0     1     2</t>
  </si>
  <si>
    <t>Total:</t>
  </si>
  <si>
    <t>Die pflegerische Leitung ist in dieser Funktion unbefristet angestellt. In einem Rotationssystem sind Leitungswechsel höchstens alle 3 Jahre erlaubt.</t>
  </si>
  <si>
    <t>In der folgenden Tabelle ist der absolute Minimalbestand an besetzten Pflegestellen Vollzeit (FTE) unabhängig von den erbrachten Schichten, aufgeführt. Für aoIS gilt diese Tabelle nicht strikt, sondern nur die Folgeabschnitte. Der Punkt wird auch bei Nicht-Erfüllen vergeben.</t>
  </si>
  <si>
    <t>Summe:</t>
  </si>
  <si>
    <t>Mindestanforderung</t>
  </si>
  <si>
    <t>Erreicht in % der max. Punktzahl</t>
  </si>
  <si>
    <t>Summe der total erreichten Punkte</t>
  </si>
  <si>
    <t>Gefordete % für Zertifikation ohne Auflagen</t>
  </si>
  <si>
    <t>% erreicht:</t>
  </si>
  <si>
    <t>Kontrolle:</t>
  </si>
  <si>
    <t>Anzahl Kriterien</t>
  </si>
  <si>
    <t>Weitere diagnostische Untersuchungen</t>
  </si>
  <si>
    <t>Summe aller möglichen Punkte</t>
  </si>
  <si>
    <t xml:space="preserve">
</t>
  </si>
  <si>
    <t>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t>
  </si>
  <si>
    <t>Folgende Untersuchungen und Messungen müssen jederzeit auf der IS durchgeführt werden können: Ultraschalluntersuchungen, Echokardiografie, Flexible Bronchoskopie, Endoskopie des oberen und unteren Intestinaltraktes, Elektrokardiogramm mit 12-Standardableitungen, Körpergewicht.</t>
  </si>
  <si>
    <t>Maximale mögliche Punktzahl</t>
  </si>
  <si>
    <t>ZH</t>
  </si>
  <si>
    <t>Zürich</t>
  </si>
  <si>
    <t>BE</t>
  </si>
  <si>
    <t>Bern</t>
  </si>
  <si>
    <t>LU</t>
  </si>
  <si>
    <t>Luzern</t>
  </si>
  <si>
    <t>UR</t>
  </si>
  <si>
    <t>Uri</t>
  </si>
  <si>
    <t>SZ</t>
  </si>
  <si>
    <t>Schwyz</t>
  </si>
  <si>
    <t>OW</t>
  </si>
  <si>
    <t>Obwalden</t>
  </si>
  <si>
    <t>NW</t>
  </si>
  <si>
    <t>Nidwalden</t>
  </si>
  <si>
    <t>GL</t>
  </si>
  <si>
    <t>Glarus</t>
  </si>
  <si>
    <t>ZG</t>
  </si>
  <si>
    <t>Zug</t>
  </si>
  <si>
    <t>FR</t>
  </si>
  <si>
    <t>Freiburg</t>
  </si>
  <si>
    <t>SO</t>
  </si>
  <si>
    <t>Solothurn</t>
  </si>
  <si>
    <t>BS</t>
  </si>
  <si>
    <t>Basel-Stadt</t>
  </si>
  <si>
    <t>BL</t>
  </si>
  <si>
    <t>Basel-Landschaft</t>
  </si>
  <si>
    <t>SH</t>
  </si>
  <si>
    <t>Schaffhausen</t>
  </si>
  <si>
    <t>AR</t>
  </si>
  <si>
    <t>Appenzell A. Rh.</t>
  </si>
  <si>
    <t>AI</t>
  </si>
  <si>
    <t>Appenzell I. Rh.</t>
  </si>
  <si>
    <t>SG</t>
  </si>
  <si>
    <t>St. Gallen</t>
  </si>
  <si>
    <t>GR</t>
  </si>
  <si>
    <t>Graubünden</t>
  </si>
  <si>
    <t>AG</t>
  </si>
  <si>
    <t>Aargau</t>
  </si>
  <si>
    <t>TG</t>
  </si>
  <si>
    <t>Thurgau</t>
  </si>
  <si>
    <t>TI</t>
  </si>
  <si>
    <t>Tessin</t>
  </si>
  <si>
    <t>VD</t>
  </si>
  <si>
    <t>Waadt</t>
  </si>
  <si>
    <t>VS</t>
  </si>
  <si>
    <t>Wallis</t>
  </si>
  <si>
    <t>NE</t>
  </si>
  <si>
    <t>Neuenburg</t>
  </si>
  <si>
    <t>GE</t>
  </si>
  <si>
    <t>Genf</t>
  </si>
  <si>
    <t>JU</t>
  </si>
  <si>
    <t>Jura</t>
  </si>
  <si>
    <t>Zurich</t>
  </si>
  <si>
    <t>Berne</t>
  </si>
  <si>
    <t>Lucerne</t>
  </si>
  <si>
    <t>Schwytz</t>
  </si>
  <si>
    <t>Obwald</t>
  </si>
  <si>
    <t>Nidwald</t>
  </si>
  <si>
    <t>Glaris</t>
  </si>
  <si>
    <t>Zoug</t>
  </si>
  <si>
    <t>Fribourg</t>
  </si>
  <si>
    <t>Soleure</t>
  </si>
  <si>
    <t>Bâle-Ville</t>
  </si>
  <si>
    <t>Bâle-Campagne</t>
  </si>
  <si>
    <t>Schaffhouse</t>
  </si>
  <si>
    <t>Appenzell Rh.-Ext.</t>
  </si>
  <si>
    <t>Appenzell Rh.-Int.</t>
  </si>
  <si>
    <t>Saint-Gall</t>
  </si>
  <si>
    <t>Grisons</t>
  </si>
  <si>
    <t>Argovie</t>
  </si>
  <si>
    <t>Thurgovie</t>
  </si>
  <si>
    <t>Vaud</t>
  </si>
  <si>
    <t>Valais</t>
  </si>
  <si>
    <t>Neuchâtel</t>
  </si>
  <si>
    <t>Genève</t>
  </si>
  <si>
    <t>Bitte wählen</t>
  </si>
  <si>
    <t>Kanton</t>
  </si>
  <si>
    <t>Canton</t>
  </si>
  <si>
    <t>Wechsel der Leitung Pflege</t>
  </si>
  <si>
    <t>veuillez choisir</t>
  </si>
  <si>
    <t xml:space="preserve">changement du </t>
  </si>
  <si>
    <t>Certification</t>
  </si>
  <si>
    <t>Erwachsene IS</t>
  </si>
  <si>
    <t>Pädiatrische IS</t>
  </si>
  <si>
    <t>Pädiatrische/Neonatologische IS</t>
  </si>
  <si>
    <t>Ja</t>
  </si>
  <si>
    <t>Nein</t>
  </si>
  <si>
    <t>Anzahl</t>
  </si>
  <si>
    <t>Spital</t>
  </si>
  <si>
    <t>D</t>
  </si>
  <si>
    <t>Version</t>
  </si>
  <si>
    <t>F</t>
  </si>
  <si>
    <t>Description</t>
  </si>
  <si>
    <t>Text Original 1 - Deutsch</t>
  </si>
  <si>
    <t>Text Original 2 - Deutsch</t>
  </si>
  <si>
    <t>Texte Original 1 Français</t>
  </si>
  <si>
    <t>Texte Original 2 Français</t>
  </si>
  <si>
    <t>Critère obligatoire</t>
  </si>
  <si>
    <t>Critère souhaitable</t>
  </si>
  <si>
    <t>Somme de tous les points</t>
  </si>
  <si>
    <t>Exigence minimale</t>
  </si>
  <si>
    <t>Nombre de critères</t>
  </si>
  <si>
    <t>Contrôle:</t>
  </si>
  <si>
    <t>A</t>
  </si>
  <si>
    <t>Ja - Oui</t>
  </si>
  <si>
    <t>Nein - Non</t>
  </si>
  <si>
    <t>Kanton-D</t>
  </si>
  <si>
    <t>Canton-F</t>
  </si>
  <si>
    <t>Anzahl ausgefüllte Felder</t>
  </si>
  <si>
    <t>Anzahl noch auszufüllende Felder</t>
  </si>
  <si>
    <t xml:space="preserve">  = Erreicht von max. Punktzahl</t>
  </si>
  <si>
    <t xml:space="preserve">  = Proportion atteinte du maximum</t>
  </si>
  <si>
    <t>Caractéristiques d'une USI et indicateurs chiffrés</t>
  </si>
  <si>
    <t>Organisation générale</t>
  </si>
  <si>
    <t>Un règlement d'organisation interne définit les modalités de fonctionnement du personnel médico-soignant.</t>
  </si>
  <si>
    <t xml:space="preserve">Que ce soit à son admission ou à sa sortie de l'USI, chaque patient fait l'objet d'un rapport de transfert médical et infirmier. </t>
  </si>
  <si>
    <t>Lors  des  transferts  internes,  l'intégralité  des  documents  restent  auprès  du patient et/ou sont disponibles pour les soignants en charge du suivi.</t>
  </si>
  <si>
    <t>Les médecins de l'USI établissent un dossier médical pour chaque patient.</t>
  </si>
  <si>
    <t xml:space="preserve">En cas de transfert de patients de l’USI vers un autre hôpital, un rapport actualisé ainsi que des copies de tous les résultats d'examen et documents importants sont transmis avec le patient. </t>
  </si>
  <si>
    <t>Saisie des données</t>
  </si>
  <si>
    <t>Les  responsables  de l'USI  saisissent  les données  selon  les prescriptions  du MDSi de la SSMI.</t>
  </si>
  <si>
    <t>Les données structurelles de l'année précédente sont conservées jusqu'a 28 février au plus tard sur le serveur central.</t>
  </si>
  <si>
    <t>Nombre de lits</t>
  </si>
  <si>
    <t>Nombre minimum de lits exploités : 6</t>
  </si>
  <si>
    <t>Patients, catégorisation/degré de gravité et journées de soins</t>
  </si>
  <si>
    <t>Documentation via</t>
  </si>
  <si>
    <t>Document</t>
  </si>
  <si>
    <t>Visite</t>
  </si>
  <si>
    <t>La catégorisation des patients s’effectue selon les prescriptions du MDSi.</t>
  </si>
  <si>
    <t>Tous les patients traités dans l'USI, y compris les patients qui ont été victimes d'une attaque cérébrale ou d'autres groupes à l'avenir, sont classés en fonction des critères prévus par le MDSi et inclus dans les données statistiques.</t>
  </si>
  <si>
    <t>La salle de réveil est séparée de l'USI d'un point de vue géographique et organisationnel.</t>
  </si>
  <si>
    <t>Les patients de type salle de réveil ne peuvent être pris en charge dans l'USI que durant les heures creuses.</t>
  </si>
  <si>
    <t>Les patients de type salle de réveil ne doivent pas être saisis dans les MDSi en tant que patients de soins intensifs.</t>
  </si>
  <si>
    <t>Exigences relatives aux locaux/à l'architecture</t>
  </si>
  <si>
    <t>Emplacement dans l'hôpital et nuisances sonores</t>
  </si>
  <si>
    <t xml:space="preserve">L'USI occupe un territoire bien défini et séparé des autres unités de soins (service des urgences, salle de réveil, service de soins intermédiaires [liste non exhaustive]). </t>
  </si>
  <si>
    <t>En raison de sa mission, le service des soins intensifs se situe à un endroit stratégiquement optimal de l'hôpital, par exemple à proximité des salles d'opération, du service des urgences, des soins intermédiaires, des autres USI, d’un ascenseur pour lits, du service de radiologie ou d'autres services dans lesquels sont pratiqués des examens ou traitements nécessaires aux patients des soins intensifs (p.ex. coronarographie, endoscopie).</t>
  </si>
  <si>
    <t xml:space="preserve">L'USI ne servira pas de lieu de transit pour les patients, le personnel ou le matériel. </t>
  </si>
  <si>
    <t>Une attention particulière sera apportée à la réduction du bruit. On veillera à réduire les nuisances sonores environnantes, à isoler les chambres d'un point de vue acoustique à l'aide de matériaux appropriés, à disposer d'alarmes optiques et acoustiques adéquates sur les appareils et le téléphone et à disposer d'un niveau sonore approprié sur des machines telles que les respirateurs.</t>
  </si>
  <si>
    <t>Accès et visite</t>
  </si>
  <si>
    <t>Il est souhaitable que les accès prévus pour les lits et le personnel de l'Unité soient distincts de l'accès réservé aux visiteurs.</t>
  </si>
  <si>
    <t>Les horaires de visites sont règlementés. Ce règlement expose et définit les horaires et restrictions de visites.</t>
  </si>
  <si>
    <t>Il existe un dispositif permettant aux visiteurs de s'annoncer.</t>
  </si>
  <si>
    <t>Surfaces et distances</t>
  </si>
  <si>
    <t>Surface par lit</t>
  </si>
  <si>
    <t xml:space="preserve">La distance entre les lits est d'au moins 2 mètres. </t>
  </si>
  <si>
    <t>Chaque lit dispose d'une longueur de paroi au niveau de la tête d'au moins 3 mètres.</t>
  </si>
  <si>
    <t>Chambre individuelle</t>
  </si>
  <si>
    <t>Installations domotiques et protection contre l'incendie</t>
  </si>
  <si>
    <t>Les normes et directives suivantes doivent être respectées :
• normes d’installation à basse tension (NIBT) de l’organisation Electrosuisse
•  directives de l’Association suisse pour l’éclairage 
• directives de la Société suisse des ingénieurs en technique du bâtiment (SICC)
• prescriptions cantonales en matière de construction
• dispositions sur la protection contre les incendies de l’Association des établissements cantonaux d'assurance incendie (AEAI)</t>
  </si>
  <si>
    <t>Le responsable de l’USI présente un document signé des services hospitaliers compétents, confirmant que les normes et directives énumérées ci-dessus ont été respectées dans la version en vigueur au moment de la construction ou de la transformation du bâtiment.</t>
  </si>
  <si>
    <t>Les chambres de malades répondent au moins aux normes de chauffage et climatisation qui s'appliquent aux pièces soumises à des exigences hygiéniques élevées, conformément aux directives de la SICC.</t>
  </si>
  <si>
    <t>Locaux et équipements</t>
  </si>
  <si>
    <t>Chambre de patient</t>
  </si>
  <si>
    <t>Chaque chambre dispose d'une horloge murale.</t>
  </si>
  <si>
    <t>Pour faciliter la surveillance du patient, la partie supérieure des portes et des cloisons doit être pourvue de baies vitrées. Un store intégré ou tout autre système pare-vue permet d'atténuer les nuisances lumineuses.</t>
  </si>
  <si>
    <t xml:space="preserve">Chaque chambre doit être pourvue d'une ouverture vers l'extérieur dans le but de favoriser l'orientation spatiale du patient. </t>
  </si>
  <si>
    <t>Il délivre de l'eau chaude et froide à l'aide d'un mécanisme actionné par le coude ou le pied de l'utilisateur, voire d'un détecteur de mouvement. Un réservoir de savon liquide, un dispensateur de désinfectant et des essuie-mains à usage unique doivent être disponibles près du lavabo.</t>
  </si>
  <si>
    <t>Toutes les surfaces de la chambre du patient doivent être revêtues d'un matériau facile à désinfecter, insonorisant, lavable, propice au déplacement sur roulettes et antidérapant.</t>
  </si>
  <si>
    <t>L'usage de sèche-mains par air chaud et/ou soufflerie n'est pas autorisé.</t>
  </si>
  <si>
    <t xml:space="preserve">Surveillance du patient </t>
  </si>
  <si>
    <t>Une surveillance par monitorage avec fonction d'alarme doit être disponible pour chaque patient.</t>
  </si>
  <si>
    <t>Les moniteurs individuels sont intégrés dans un ou plusieurs postes centraux.</t>
  </si>
  <si>
    <t>Il existe un système qui enregistre les alarmes et sauvegarde les données de monitorage.</t>
  </si>
  <si>
    <t xml:space="preserve">Le personnel doit s'assurer que le contact visuel avec le patient est garanti en permanence. </t>
  </si>
  <si>
    <t>Un document régit les obligations en matière de présence auprès des patients non visibles, ou un système de vidéosurveillance est installé et soumis à des règles écrites de responsabilité quant à la surveillance de l'écran.</t>
  </si>
  <si>
    <t>Équipements et locaux annexes (taille et étendue en fonction de la taille de l'Unité)</t>
  </si>
  <si>
    <t>Systèmes d'entreposage des médicaments et stocks</t>
  </si>
  <si>
    <t>Armoires frigorifiques pour les médicaments et produits sanguins</t>
  </si>
  <si>
    <t>Stock de perfusions</t>
  </si>
  <si>
    <t xml:space="preserve">Lieux et équipements destinés à la préparation de médicaments, pousse-seringues et perfusions </t>
  </si>
  <si>
    <t>Équipements permettant de consulter les examens radiologiques</t>
  </si>
  <si>
    <t>Pièces destinées au matériel et aux appareils, adaptées à la taille de l'Unité</t>
  </si>
  <si>
    <t>Bureau médical</t>
  </si>
  <si>
    <t>Bureau infirmier</t>
  </si>
  <si>
    <t>Toilettes</t>
  </si>
  <si>
    <t>Vidoir: local distinct ne permettant pas le passage</t>
  </si>
  <si>
    <t>Salle de réunion</t>
  </si>
  <si>
    <t>Salle/zone d'attente au niveau de l'entrée des visiteurs (nombre de places assises = nombre maximum de lits/2 + 2)</t>
  </si>
  <si>
    <t>Salle de repos pour le personnel</t>
  </si>
  <si>
    <t>Vestiaire du personnel (ne doit pas obligatoirement se trouver dans l'enceinte de l'USI)</t>
  </si>
  <si>
    <t>Casiers verrouillables pour chaque membre du personnel en service (peuvent être intégrés aux vestiaires lorsque ceux-ci se trouvent dans l'environnement immédiat de l'USI ou dans l'USI elle-même)</t>
  </si>
  <si>
    <t>Aménagement de l'espace dédié au patient</t>
  </si>
  <si>
    <t>Lit du patient</t>
  </si>
  <si>
    <t>Le lit permet de modifier la position du patient à trois niveaux : au niveau de la tête, du corps et des pieds ainsi qu'aux trois niveaux simultanément.</t>
  </si>
  <si>
    <t>Le lit doit permettre un massage cardiaque externe.</t>
  </si>
  <si>
    <t>L’équipement des lits est conçu de façon à permettre indifféremment le positionnement du patient en décubitus ventral, latéral et dorsal. Alèse et matelas doivent être choisis de façon à prévenir les escarres.</t>
  </si>
  <si>
    <t>Agencement du lit dans la pièce et séparation</t>
  </si>
  <si>
    <t>La localisation et l'orientation du lit doivent permettre au patient d'apercevoir l'infirmière, la fenêtre de la chambre, l'horloge ainsi que d'autres repères spatiaux.</t>
  </si>
  <si>
    <t>En cas de besoin, le lit doit être accessible par tous les côtés.</t>
  </si>
  <si>
    <t>Dans des chambres à plusieurs lits, des rideaux de séparation flexibles, dont l'ouverture est facile et rapide, sont installés (installation fixe ou amovible).</t>
  </si>
  <si>
    <t>Installations minimales à l'emplacement du lit</t>
  </si>
  <si>
    <t>Les installations suivantes équipant chaque lit sont facilement accessibles et placées à une hauteur de 120 cm au moins, disposées de part et d'autre du lit :</t>
  </si>
  <si>
    <t>12 prises électriques</t>
  </si>
  <si>
    <t>2 prises d'oxygène</t>
  </si>
  <si>
    <t>1 prise d'air comprimé</t>
  </si>
  <si>
    <t>2 prises de vide (vacuum)</t>
  </si>
  <si>
    <t>une lampe par lit équipée d’un variateur permettant un éclairage de très faible à très forte intensité (1000 lux)</t>
  </si>
  <si>
    <t>une lumière de présence avec alarme</t>
  </si>
  <si>
    <t>une prise téléphone</t>
  </si>
  <si>
    <t>une prise radio et télévision avec des écouteurs</t>
  </si>
  <si>
    <t>Équipements à l'emplacement du lit</t>
  </si>
  <si>
    <t>Une surface de dépose et un pupitre destinés aux feuilles de prescription et de surveillance du patient ainsi qu'aux analyses/bilans, ECG et résultats de laboratoire. Ce genre d'installation peut être remplacé par un système informatique (ordinateur) avec possibilité de saisie des données et utilisation au lit du patient.</t>
  </si>
  <si>
    <t>Une table de nuit pour les effets personnels du patient.</t>
  </si>
  <si>
    <t>Des rails muraux ou équivalents fixés à environ 40 et 120 cm du sol, et destinés à l'ancrage des dispositifs de soins, traitement et monitorage. Des consoles et/ou tringles suspendues au plafond dans le but d'y accrocher les perfusions, pousse-seringues, pompes volumétriques ou autres appareils.</t>
  </si>
  <si>
    <t>Compte tenu des moyens disponibles, l’agencement des équipements doit être conçu de manière à être aisément accessibles sans entraver l’accès au patient.</t>
  </si>
  <si>
    <t>Personnel</t>
  </si>
  <si>
    <t>Couverture médicale</t>
  </si>
  <si>
    <t>Le médecin responsable de l'USI</t>
  </si>
  <si>
    <t>Il est le responsable médical et administratif de l'unité des soins intensifs (et partage en partie sa mission avec le responsable des soins infirmiers).</t>
  </si>
  <si>
    <t>La responsabilité administrative comprend l'organisation générale de l’USI, ainsi que les relations avec les autorités médicales et administratives de l'hôpital, de la SSMI, de l'organisation faîtière, de la FMH et autres comités.</t>
  </si>
  <si>
    <t>La prise en charge de tous les patients dans l’USI est sous la direction et la responsabilité du médecin responsable de l’Unité. Il peut déléguer certaines tâches tant à ses collaborateurs médicaux qu'à des médecins d'autres disciplines, et ce dans le champ de compétences spécifique de ces derniers.</t>
  </si>
  <si>
    <t xml:space="preserve">Il est responsable des directives médicales aux soins intensifs et de leur application. </t>
  </si>
  <si>
    <t xml:space="preserve">Le responsable médical ou les médecins désignés par lui au sein de l'USI sont responsables de la gestion du flux dans l'Unité et décident de l'admission et de la sortie des patients. </t>
  </si>
  <si>
    <t>Il est co-responsable de l’organisation des formations postgraduées et continues en médecine intensive des médecins et du personnel soignant de l'USI et il y participe.</t>
  </si>
  <si>
    <t>Il est porteur du titre fédéral de spécialiste en médecine intensive. À titre exceptionnel, le comité de la SSMI peut reconnaître une unité de soins dont le responsable n'est pas porteur du titre fédéral, mais qui dispose toutefois d'un titre équivalent à la formation fédérale postgraduée en médecine intensive. La confirmation de l'équivalence à la formation en médecine intensive ne peut être délivrée que par le comité de la SSMI.</t>
  </si>
  <si>
    <t>Le responsable médical est engagé à ce poste pour une durée illimitée. Un changement de direction n'est autorisé, dans un système de rotation, au plus tôt après trois ans .</t>
  </si>
  <si>
    <t>Le médecin responsable doit avoir un suppléant porteur d’un titre de spécialiste fédéral (ou d’un certificat d’équivalence) en médecine intensive ou en anesthésie/médecine interne/chirurgie/pédiatrie, pouvant prouver 6 mois de formation postgraduée en médecine intensive.</t>
  </si>
  <si>
    <t>Le temps de travail minimal durant lequel le médecin responsable de l’USI et son suppléant se consacrent à l’USI (tâches administratives et formation incluses) est de 160 % pour les Unités de 12 lits ou plus, 120 % pour les Unités de 8 à 11 lits et 80 % pour les Unités plus petites (50 % pour les Unités de soins intensifs (USI) extraordinaires, correspondant au nombre de prestations réduit).</t>
  </si>
  <si>
    <t>Organisation de la garde</t>
  </si>
  <si>
    <t xml:space="preserve">Le médecin responsable de l’USI est tenu de garantir la présence permanente à l’hôpital d'un médecin ; ce médecin est en permanence responsable des patients de l’USI et disponible pour eux. Il est nécessaire de garantir à tout instant l'éventuelle mise en œuvre immédiate des mesures médicales urgentes (telles que réanimation, intubation, mise en place d’un cathéter artériel et veineux central, drainage thoracique [liste non exhaustive]). </t>
  </si>
  <si>
    <t>Médecins-assistants, chefs de clinique et/ou médecins-cadres, spécialistes</t>
  </si>
  <si>
    <t>Tous les médecins de l’USI sont directement subordonnés au médecin responsable et aux médecins-cadres de l'USI, tant au niveau médical que hiérarchique.</t>
  </si>
  <si>
    <t>Les médecins en formation ont droit à la délivrance des certificats de formation conformément aux directives sur la formation postgraduée de la FMH et aux programmes de formation des sociétés spécialisées.</t>
  </si>
  <si>
    <t>Tous les médecins en formation, en particulier les médecins-assistants, sont supervisés et exercent au sein de l’équipe en fonction de leurs niveaux et objectifs de formation postgraduée. En aucun cas, des médecins en formation ne doivent être contraints – par défaut d’organisation ou absence de spécialistes  de pratiquer des actes médicaux pour lesquels ils ne sont pas qualifiés.</t>
  </si>
  <si>
    <t>Les médecins-assistants sont affectés à l'USI pour des périodes d'au moins trois mois.</t>
  </si>
  <si>
    <t>Service de piquet</t>
  </si>
  <si>
    <t>Médecins consultants</t>
  </si>
  <si>
    <t>Un représentant de chacune des disciplines de base (anesthésie, médecine interne ou pédiatrie, chirurgie ou chirurgie pédiatrique, gynécologie, radiologie) doit être disponible à tout instant afin de pouvoir répondre aux demandes de consultation.</t>
  </si>
  <si>
    <t>Prescriptions médicales</t>
  </si>
  <si>
    <t>Les prescriptions médicales sont délivrées par écrit ou au format électronique.</t>
  </si>
  <si>
    <t>Seuls les membres de l'équipe médicale de l'USI sont habilités à faire des prescriptions médicales. Dans un esprit de bonne collaboration, ils peuvent tenir compte des propositions émises par les consultants et par les responsables médicaux des autres départements dont sont issus les patients de l’Unité.</t>
  </si>
  <si>
    <t>Personnel soignant (voir également le tableau « Calcul pour la dotation soignante minimale »)</t>
  </si>
  <si>
    <t>Directeur du personnel soignant</t>
  </si>
  <si>
    <t>Il est le responsable infirmier et administratif des soins au sein de l'Unité (et partage en partie sa mission avec le responsable médical).</t>
  </si>
  <si>
    <t>La responsabilité administrative comprend l'organisation générale de l’USI, ainsi que les relations avec les comités administratifs et de soins infirmiers de l'hôpital, de la SSMI, de l'ASI et d’autres comités (ces activités étant en partie exercées avec le responsable médical).</t>
  </si>
  <si>
    <t>La prise en charge de tous les patients de l’USI par le personnel infirmier des soins intensifs incombe à la direction et à la responsabilité du responsable infirmier de l’Unité. Ce dernier peut déléguer des tâches tant à ses collaborateurs qu'à des infirmiers extérieurs à l'USI.</t>
  </si>
  <si>
    <t>Il organise les formations postgraduées et continues du personnel soignant et des aide-soignants de l'USI et il y participe.</t>
  </si>
  <si>
    <t>La direction des soins infirmiers au sein de l'USI revient à un expert détenteur d'un diplôme d'infirmier en soins intensifs EPD ES. À titre exceptionnel, le comité de la SSMI peut reconnaître une unité de soins dont le responsable n'est pas porteur du diplôme EPD ES, mais dispose toutefois d'un diplôme équivalent d'expert en soins intensifs EPD ES. La confirmation de l'équivalence de cette formation ne peut être délivrée que par le comité de la SSMI.</t>
  </si>
  <si>
    <t>Le responsable des soins infirmiers est engagé à ce poste pour une durée illimitée. Un changement de direction n'est autorisé, dans un système de rotation, au plus tôt aprèstrois ans.</t>
  </si>
  <si>
    <t>Le temps de travail minimum établi pour les fonctions de cadres (même réparti sur plusieurs personnes) est de 80 % d'équivalents plein temps pour 6 lits, plus 10 % par lit supplémentaire.</t>
  </si>
  <si>
    <t>Expert en soins</t>
  </si>
  <si>
    <t>Un expert en soins détenteur d’un master en soins d’une haute école spécialisée ou d’une université (systématique suisse de la formation) [1 point] et le diplôme d'expert en soins intensifs EPD ES, [plus 1 point] est disponible pour l'USI en fonction de la taille de l'Unité.</t>
  </si>
  <si>
    <t>Dotation minimale en personnel soignant à plein temps (EPT)</t>
  </si>
  <si>
    <t xml:space="preserve">Le tableau suivant détaille la dotation minimale absolue en personnel soignant à plein temps (EPT) attribué, indépendamment des horaires effectifs. Pour les Unités de soins intensifs extraordinaires, le tableau ne peut s'appliquer au sens strict, elles doivent par contre satisfaire aux sections suivantes. </t>
  </si>
  <si>
    <t xml:space="preserve">          Tabelle auf Deutsch</t>
  </si>
  <si>
    <t xml:space="preserve">          Tableau en Allemand</t>
  </si>
  <si>
    <t xml:space="preserve">      Tabelle auf Französisch</t>
  </si>
  <si>
    <t xml:space="preserve">      Tableau en Français</t>
  </si>
  <si>
    <t>Règlement et visite</t>
  </si>
  <si>
    <t>Visite, règlement d'organisation</t>
  </si>
  <si>
    <t>Plans, visite</t>
  </si>
  <si>
    <t>Documentation relative au bâtiment, aux appareils, visite</t>
  </si>
  <si>
    <t>Plans, documentation</t>
  </si>
  <si>
    <t>Document, visite</t>
  </si>
  <si>
    <t>Visite, documentation</t>
  </si>
  <si>
    <t>Plans, documentation, visite</t>
  </si>
  <si>
    <t>Le travail non lié aux patients effectué par les cadres infirmiers ou d’autres membres de l’équipe soignante de l’USI n’est pas pris en compte dans les chiffres indiqués ci-dessus. La part relative à ce travail effectué par l'ensemble des cadres doit être dûment documentée.</t>
  </si>
  <si>
    <t>L'ensemble du personnel de soins participant aux activités d'instruction n'est comptabilisé dans les chiffres ci-dessus que dans le cadre de ses activités de soins directs au lit du patient. La proportion prévue pour les différentes activités doit être documentée.</t>
  </si>
  <si>
    <t>Qualification</t>
  </si>
  <si>
    <t>Au moins un tiers des équivalents plein temps du personnel soignant requis au minimum doit être titulaire du diplôme d’expert en soins intensifs EPD ES ou avoir suivi une formation équivalente. C’est le comité de la SSMI qui décide de l’équivalence.</t>
  </si>
  <si>
    <t>Au moins un membre du personnel soignant par horaire infirmier travaillant au lit du patient doit être titulaire du diplôme d’expert en soins intensifs EPD ES ou équivalent, conformément à la définition donnée dans la section précédente. Pour des USI de 6 lits et 15 EPT, au minimum 40 % (= 6 EPT) du personnel doit être titulaire du diplôme d’expert en soins intensifs EPD ES pour pouvoir répondre à cette exigence.</t>
  </si>
  <si>
    <t>Si l’USI emploie des assistants en soins et santé communautaire (ASSC), leur nombre ne doit pas dépasser 5 % des besoins globaux en personnel soignant. S'ils représentent plus de 5 % de l'ensemble des soignants, le pourcentage qui excède les 5 % est attribué au groupe du personnel auxiliaire.</t>
  </si>
  <si>
    <t>Physiothérapeutes, ergothérapeutes et logopédistes</t>
  </si>
  <si>
    <t xml:space="preserve">L'USI doit au quotidien pouvoir recourir aux physiothérapeutes.. </t>
  </si>
  <si>
    <t>Selon les besoins des patients, l’USI doit pouvoir recourir à un spécialiste en ergothérapie et en logopédie.</t>
  </si>
  <si>
    <t>Personnel auxiliaire</t>
  </si>
  <si>
    <t>L’USI doit disposer d’un nombre adéquat de personnel auxiliaire. La dotation minimale exigée de soignants selon 4.2.2 présuppose une dotation de base en personnel auxiliaire. Les postes de personnel auxiliaire attribués doivent être dûment documentés. Si tous les travaux auxiliaires sont effectués par du personnel soignant diplômé, les postes prévus pour ces travaux auxiliaires (non liés aux patients) doivent être déclarés séparément et sont déduits de la dotation minimale pour les missions liées aux patients.</t>
  </si>
  <si>
    <t>Personnel technique</t>
  </si>
  <si>
    <t xml:space="preserve">La nécessité d’intégrer dans le personnel de l’USI des techniciens, laborantins, informaticiens, etc., dépend des installations et des appareils utilisés ainsi que des réalités internes de l’hôpital. Le personnel soignant relevant de la dotation minimale attribuée aux missions liées aux patients ne doit pas être détourné de sa tâche pour s'occuper de l’entretien des appareils de surveillance, appareils respiratoires, appareils de laboratoire et autres installations techniques, ni du réseaux ni des ordinateurs. </t>
  </si>
  <si>
    <t>Secrétariat</t>
  </si>
  <si>
    <t>Il est nécessaire d'engager au moins 50 % d'équivalent plein temps pour 6 lits. (Pour les Unités de soins intensifs (USI) extraordinaires, 30 % correspondant au nombre de prestations réduit).</t>
  </si>
  <si>
    <t>Diagnostic et monitorage</t>
  </si>
  <si>
    <t>Examens de laboratoire</t>
  </si>
  <si>
    <t>Un laboratoire d'urgence doit être disponible 24 heures sur 24.</t>
  </si>
  <si>
    <t xml:space="preserve">Il doit fournir en temps utiles toutes les prestations de laboratoire nécessaires au traitement des patients (biochimie, hématologie), qu'elles soient prises en charge en interne ou sous-traitées. </t>
  </si>
  <si>
    <t>Les analyses de microbiologie, y compris les tests de résistance aux antibiotiques, les sérologies et examens de virologie, doivent être effectuées en interne ou sous-traitées en temps utiles.</t>
  </si>
  <si>
    <t>Dans le cas où l’USI gère son propre appareil de laboratoire, elle doit s’assurer du respect des exigences de la Commission suisse pour l'assurance de qualité dans le laboratoire médical, fondées sur l’article 58 de la loi sur l'assurance-maladie (LAMal) et l’article 77 de l’ordonnance correspondante (OAMal).</t>
  </si>
  <si>
    <t>Des radiographies classiques du thorax et de l’abdomen doivent pouvoir être réalisées dans l’USI.</t>
  </si>
  <si>
    <t>Un CT doit être disponible en permanence au sein de l’hôpital. L’interprétation des images sannographiques doit être assurée.</t>
  </si>
  <si>
    <t>Autres examens diagnostiques</t>
  </si>
  <si>
    <t>Les examens et mesures suivants doivent pouvoir être réalisés à tout moment dans l’USI : examens échographiques, échocardiographies, bronchoscopies flexibles, endoscopies digestives haute et basse, électrocardiogrammes à 12 dérivations, poids corporel.</t>
  </si>
  <si>
    <t>Appareils indispensables à la surveillance (monitorage)</t>
  </si>
  <si>
    <t xml:space="preserve">L'USI dispose d'un nombre suffisant de moniteurs permettant la surveillance de tous les patients. Surveillance cardiovasculaire : surveillance permanente de l’ECG et de la pression artérielle et veineuse invasive et mesure intermittente ou continue du débit cardiaque. Surveillance respiratoire : oxymétrie de pouls, CO2 télé-expiratoire, fréquence respiratoire. Température corporelle, y compris surveillance de l'hypothermie. </t>
  </si>
  <si>
    <t>Ces méthodes de monitorage doivent correspondre aux besoins et types de patients au sein de l'USI. aux types et besoins des patients au sein de l’Unité.</t>
  </si>
  <si>
    <t>Équipements thérapeutiques indispensables</t>
  </si>
  <si>
    <t>Le nombre et la nature des appareils thérapeutiques correspondent aux types et niveaux de gravité des pathologies des patients.</t>
  </si>
  <si>
    <t>Transports</t>
  </si>
  <si>
    <t>Transfert</t>
  </si>
  <si>
    <t>Les patients qui ne peuvent pas être pris en charge dans l'USI de manière adéquate pour des raisons de personnel, de matériel ou de technique doivent être transférés dans les meilleurs délais vers des centres équipés de manière appropriée, une fois leur état stabilisé au mieux.</t>
  </si>
  <si>
    <t>Accompagnement lors du transport</t>
  </si>
  <si>
    <t>Le patient doit être accompagné par un personnel qualifié et disposant d’une formation et de l’équipement adaptés, de façon à permettre la détection et le traitement de toute défaillance des fonctions dans les meilleurs délais.</t>
  </si>
  <si>
    <t>Enseignement et recherche</t>
  </si>
  <si>
    <t>Formation continue du personnel soignant</t>
  </si>
  <si>
    <t>Le personnel soignant doit régulièrement se former dans les domaines relevant des soins infirmiers, de la médecine intensive et de la technique. Le responsable du personnel soignant de l’USI tient une liste des colloques internes de formation continue dont a bénéficié le personnel soignant de l'USI. Une documentation de la participation du personnel soignant à des sessions de formation continue, tant internes qu’externes, doit être assurée.</t>
  </si>
  <si>
    <t>Formation continue des médecins</t>
  </si>
  <si>
    <t>La formation continue des médecins spécialistes FMH en médecine intensive est inscrite dans le programme de formation continue de la SSMI. Les unités de soins intensifs reconnues doivent permettre à leurs médecins de participer à ces activités de formation continue.</t>
  </si>
  <si>
    <t>Autres programmes médicaux de formations postgraduées</t>
  </si>
  <si>
    <t>Les médecins-assistants qui ne sont pas en formation postgraduée pour le titre de spécialiste en médecine intensive (assistants en rotation) ou les assistants qui travaillent dans une USI non reconnue pour la formation postgraduée de spécialiste en médecine intensive ont besoin, outre d'un programme valable de formation postgraduée, d'une introduction adéquate et d'une formation postgraduée spécialisée en médecine intensive.</t>
  </si>
  <si>
    <t>Recherche</t>
  </si>
  <si>
    <t>Les USI participent de manière appropriée à des projets de recherche. Dans la mesure de leurs possibilités, elles sont notamment impliquées dans des projets de recherche soutenus par la SSMI.</t>
  </si>
  <si>
    <t>Autres dispositions</t>
  </si>
  <si>
    <t>Bases légales</t>
  </si>
  <si>
    <t xml:space="preserve">L'Unité doit pouvoir prouver l'application de méthodes d'assurance de la qualité (p.ex. un Critical Incident Reporting System [CIRS]). </t>
  </si>
  <si>
    <t>Directives et médecine reposant sur les preuves</t>
  </si>
  <si>
    <t>Éthique</t>
  </si>
  <si>
    <t>L'Unité dispose d'un concept applicable aux décisions d'éthique.</t>
  </si>
  <si>
    <t>Visite, document</t>
  </si>
  <si>
    <t>% nécessaire pour une certification sans conditions</t>
  </si>
  <si>
    <t>0= non rempli
1= partiellement rempli
2= totalement rempli</t>
  </si>
  <si>
    <t>0= non rempli
1= rempli</t>
  </si>
  <si>
    <t>Date Demande Certification</t>
  </si>
  <si>
    <t>Hôpital</t>
  </si>
  <si>
    <t>Muss</t>
  </si>
  <si>
    <t>Obligatoire</t>
  </si>
  <si>
    <t>Souhaitable</t>
  </si>
  <si>
    <t>Kann</t>
  </si>
  <si>
    <t>Station</t>
  </si>
  <si>
    <t>Leitung Pflege</t>
  </si>
  <si>
    <t>Unité</t>
  </si>
  <si>
    <t>Anhang I zu den Richtlinien für die Zertifizierung von IS durch die SGI</t>
  </si>
  <si>
    <t>Qualitätskriterien</t>
  </si>
  <si>
    <t xml:space="preserve">Annexe I aux directives pour la certification des USI par la SSMI 
</t>
  </si>
  <si>
    <t>Critères de qualité</t>
  </si>
  <si>
    <t>Autodéclaration</t>
  </si>
  <si>
    <t>Anhang VII zu den Richtlinien für die Zertifizierung von IS durch die SGI</t>
  </si>
  <si>
    <t>Annexe VII aux directives pour la certification des USI par la SSMI</t>
  </si>
  <si>
    <t xml:space="preserve">Autodéclaration du </t>
  </si>
  <si>
    <t xml:space="preserve">Selbstdeklaration vom </t>
  </si>
  <si>
    <t>Tabelle auf Deutsch</t>
  </si>
  <si>
    <t>Tableau en Allemand</t>
  </si>
  <si>
    <t>Tabelle auf Französisch</t>
  </si>
  <si>
    <t>Tableau en Français</t>
  </si>
  <si>
    <t>Die deutsche Version ist Stammversion.</t>
  </si>
  <si>
    <t>La version allemande est la version de base.</t>
  </si>
  <si>
    <t>Gefordete Punktzahl für Zertifikation ohne Auflagen</t>
  </si>
  <si>
    <t>Nombre de points nécessaires pour une certification sans conditions</t>
  </si>
  <si>
    <r>
      <t xml:space="preserve">Ein internes </t>
    </r>
    <r>
      <rPr>
        <u/>
        <sz val="10"/>
        <rFont val="Arial"/>
        <family val="2"/>
      </rPr>
      <t>Organisationsreglement</t>
    </r>
    <r>
      <rPr>
        <b/>
        <sz val="10"/>
        <rFont val="Arial"/>
        <family val="2"/>
      </rPr>
      <t xml:space="preserve"> </t>
    </r>
    <r>
      <rPr>
        <sz val="10"/>
        <rFont val="Arial"/>
        <family val="2"/>
      </rPr>
      <t>regelt den Arbeitsablauf des ärztlichen Personals und des Pflegepersonals</t>
    </r>
  </si>
  <si>
    <r>
      <t xml:space="preserve">Bei Eintritt und bei Austritt wird bei jedem Patienten ein </t>
    </r>
    <r>
      <rPr>
        <u/>
        <sz val="10"/>
        <rFont val="Arial"/>
        <family val="2"/>
      </rPr>
      <t>Übergaberapport</t>
    </r>
    <r>
      <rPr>
        <sz val="10"/>
        <rFont val="Arial"/>
        <family val="2"/>
      </rPr>
      <t xml:space="preserve"> auf ärztlicher und auf pflegerischer Ebene durchgeführt. </t>
    </r>
  </si>
  <si>
    <r>
      <t xml:space="preserve">Die Ärzte der IS führen für jeden Patienten eine </t>
    </r>
    <r>
      <rPr>
        <u/>
        <sz val="10"/>
        <rFont val="Arial"/>
        <family val="2"/>
      </rPr>
      <t>Krankengeschichte</t>
    </r>
    <r>
      <rPr>
        <sz val="10"/>
        <rFont val="Arial"/>
        <family val="2"/>
      </rPr>
      <t xml:space="preserve">. </t>
    </r>
  </si>
  <si>
    <r>
      <t xml:space="preserve">Eine Kartei/Datei hält Reparaturdaten und </t>
    </r>
    <r>
      <rPr>
        <u/>
        <sz val="10"/>
        <rFont val="Arial"/>
        <family val="2"/>
      </rPr>
      <t>technische Kontrollen aller Geräte</t>
    </r>
    <r>
      <rPr>
        <b/>
        <sz val="10"/>
        <rFont val="Arial"/>
        <family val="2"/>
      </rPr>
      <t xml:space="preserve"> </t>
    </r>
    <r>
      <rPr>
        <sz val="10"/>
        <rFont val="Arial"/>
        <family val="2"/>
      </rPr>
      <t>fest.</t>
    </r>
  </si>
  <si>
    <r>
      <t xml:space="preserve">Die </t>
    </r>
    <r>
      <rPr>
        <u/>
        <sz val="10"/>
        <rFont val="Arial"/>
        <family val="2"/>
      </rPr>
      <t>Patientenkategorisierung</t>
    </r>
    <r>
      <rPr>
        <sz val="10"/>
        <rFont val="Arial"/>
        <family val="2"/>
      </rPr>
      <t xml:space="preserve"> geschieht nach den Vorgaben des MDSi.</t>
    </r>
  </si>
  <si>
    <r>
      <t xml:space="preserve">Die IS umfasst ein genau definiertes und von anderen Stationen (Notfallstation, Aufwachraum, Intermediate-Care-Station [nicht abschliessende Aufzählung]) </t>
    </r>
    <r>
      <rPr>
        <u/>
        <sz val="10"/>
        <rFont val="Arial"/>
        <family val="2"/>
      </rPr>
      <t xml:space="preserve">getrenntes Areal. </t>
    </r>
  </si>
  <si>
    <r>
      <t xml:space="preserve">Die Intensivstation liegt entsprechend ihrem Auftrag strategisch günstig innerhalb des Spitals, zum Beispiel Nachbarschaft zu den Operationssälen, der Notfallstation, IMC, den anderen IS, einem </t>
    </r>
    <r>
      <rPr>
        <u/>
        <sz val="10"/>
        <rFont val="Arial"/>
        <family val="2"/>
      </rPr>
      <t>Bettenlift</t>
    </r>
    <r>
      <rPr>
        <b/>
        <sz val="10"/>
        <rFont val="Arial"/>
        <family val="2"/>
      </rPr>
      <t xml:space="preserve">, </t>
    </r>
    <r>
      <rPr>
        <sz val="10"/>
        <rFont val="Arial"/>
        <family val="2"/>
      </rPr>
      <t>der Röntgenabteilung oder anderen Abteilungen, in denen für IS-Patienten notwendige Abklärungen bzw. Behandlungen durchgeführt werden (z.B. Koronarographie, Endoskopie).</t>
    </r>
  </si>
  <si>
    <r>
      <t xml:space="preserve">Durch die IS findet </t>
    </r>
    <r>
      <rPr>
        <u/>
        <sz val="10"/>
        <rFont val="Arial"/>
        <family val="2"/>
      </rPr>
      <t>kein Durchgangsverkehr</t>
    </r>
    <r>
      <rPr>
        <b/>
        <sz val="10"/>
        <rFont val="Arial"/>
        <family val="2"/>
      </rPr>
      <t xml:space="preserve"> </t>
    </r>
    <r>
      <rPr>
        <sz val="10"/>
        <rFont val="Arial"/>
        <family val="2"/>
      </rPr>
      <t xml:space="preserve">von Patienten, Personal oder Material statt. </t>
    </r>
  </si>
  <si>
    <r>
      <t xml:space="preserve">Der </t>
    </r>
    <r>
      <rPr>
        <u/>
        <sz val="10"/>
        <rFont val="Arial"/>
        <family val="2"/>
      </rPr>
      <t>Lärmminderung</t>
    </r>
    <r>
      <rPr>
        <sz val="10"/>
        <rFont val="Arial"/>
        <family val="2"/>
      </rPr>
      <t xml:space="preserve"> wird Beachtung geschenkt: Reduktion lärmiger Immissionen aus der Umgebung, adäquate Schalldämmung in den Zimmern durch geeignete Materialien, adäquate optische und akustische Alarme der Geräte und des Telefons, Lautstärke der Maschinen wie zum Beispiel Respiratoren.</t>
    </r>
  </si>
  <si>
    <r>
      <t>Getrennte Zugänge</t>
    </r>
    <r>
      <rPr>
        <sz val="10"/>
        <rFont val="Arial"/>
        <family val="2"/>
      </rPr>
      <t xml:space="preserve"> für Betten, Stationspersonal einerseits und Besucher</t>
    </r>
  </si>
  <si>
    <r>
      <t xml:space="preserve">Die </t>
    </r>
    <r>
      <rPr>
        <u/>
        <sz val="10"/>
        <rFont val="Arial"/>
        <family val="2"/>
      </rPr>
      <t>Distanz</t>
    </r>
    <r>
      <rPr>
        <sz val="10"/>
        <rFont val="Arial"/>
        <family val="2"/>
      </rPr>
      <t xml:space="preserve"> zwischen den Betten beträgt minimal 2 Meter.</t>
    </r>
  </si>
  <si>
    <r>
      <t xml:space="preserve">Die </t>
    </r>
    <r>
      <rPr>
        <u/>
        <sz val="10"/>
        <rFont val="Arial"/>
        <family val="2"/>
      </rPr>
      <t>Wandlänge</t>
    </r>
    <r>
      <rPr>
        <b/>
        <sz val="10"/>
        <rFont val="Arial"/>
        <family val="2"/>
      </rPr>
      <t xml:space="preserve"> </t>
    </r>
    <r>
      <rPr>
        <sz val="10"/>
        <rFont val="Arial"/>
        <family val="2"/>
      </rPr>
      <t>am Kopfende bei jedem Bett beträgt minimal 3 Meter.</t>
    </r>
  </si>
  <si>
    <r>
      <t xml:space="preserve">In jedem Zimmer ist eine </t>
    </r>
    <r>
      <rPr>
        <u/>
        <sz val="10"/>
        <rFont val="Arial"/>
        <family val="2"/>
      </rPr>
      <t>Wanduhr</t>
    </r>
    <r>
      <rPr>
        <b/>
        <sz val="10"/>
        <rFont val="Arial"/>
        <family val="2"/>
      </rPr>
      <t xml:space="preserve"> </t>
    </r>
    <r>
      <rPr>
        <sz val="10"/>
        <rFont val="Arial"/>
        <family val="2"/>
      </rPr>
      <t>installiert.</t>
    </r>
  </si>
  <si>
    <r>
      <t xml:space="preserve">Zur Verbesserung der Überwachung muss der </t>
    </r>
    <r>
      <rPr>
        <u/>
        <sz val="10"/>
        <rFont val="Arial"/>
        <family val="2"/>
      </rPr>
      <t>obere Teil der Türen und der Trennwände verglast</t>
    </r>
    <r>
      <rPr>
        <b/>
        <sz val="10"/>
        <rFont val="Arial"/>
        <family val="2"/>
      </rPr>
      <t xml:space="preserve"> </t>
    </r>
    <r>
      <rPr>
        <sz val="10"/>
        <rFont val="Arial"/>
        <family val="2"/>
      </rPr>
      <t xml:space="preserve">sein. </t>
    </r>
    <r>
      <rPr>
        <u/>
        <sz val="10"/>
        <rFont val="Arial"/>
        <family val="2"/>
      </rPr>
      <t>Integrierte Storen oder andere wirksame Sichtschutzmassnahmen</t>
    </r>
    <r>
      <rPr>
        <sz val="10"/>
        <rFont val="Arial"/>
        <family val="2"/>
      </rPr>
      <t xml:space="preserve"> verhindern unerwünschte optische Störungen.</t>
    </r>
  </si>
  <si>
    <r>
      <t xml:space="preserve">Eine </t>
    </r>
    <r>
      <rPr>
        <u/>
        <sz val="10"/>
        <rFont val="Arial"/>
        <family val="2"/>
      </rPr>
      <t>Monitor-Überwachung</t>
    </r>
    <r>
      <rPr>
        <sz val="10"/>
        <rFont val="Arial"/>
        <family val="2"/>
      </rPr>
      <t xml:space="preserve"> mit Alarmfunktion für jeden Patientenplatz muss vorhanden sein.</t>
    </r>
  </si>
  <si>
    <t>Die Ausrüstung der Betten ist so veränderbar, dass alle Lagerungen (Rücken-, Seiten- und Bauchlagerung) durchgeführt werden können. Die Unterlagen und Matratzen müssen so gewählt werden können, dass eine Dekubitusprophylaxe möglich ist.</t>
  </si>
  <si>
    <r>
      <t xml:space="preserve">Die </t>
    </r>
    <r>
      <rPr>
        <u/>
        <sz val="10"/>
        <rFont val="Arial"/>
        <family val="2"/>
      </rPr>
      <t>Platzierung und die Orientierung des Bettes</t>
    </r>
    <r>
      <rPr>
        <sz val="10"/>
        <rFont val="Arial"/>
        <family val="2"/>
      </rPr>
      <t xml:space="preserve"> soll dem Patienten erlauben, das Pflegepersonal, das Aussenfenster, die Uhr sowie andere räumliche Orientierungspunkte zu sehen.</t>
    </r>
  </si>
  <si>
    <t>Die folgenden Installationen pro Bettenplatz sind leicht erreichbar und auf mindestens 120 cm Höhe installiert, verteilt auf beide Seiten des Bettes.</t>
  </si>
  <si>
    <r>
      <t>Eine Ablagefläche und Schreibfläche</t>
    </r>
    <r>
      <rPr>
        <b/>
        <sz val="10"/>
        <rFont val="Arial"/>
        <family val="2"/>
      </rPr>
      <t xml:space="preserve"> </t>
    </r>
    <r>
      <rPr>
        <sz val="10"/>
        <rFont val="Arial"/>
        <family val="2"/>
      </rPr>
      <t>für die Verordnungs- und Überwachungsblätter des Patienten sowie Befundblätter, EKG und Labor-resultate. Diese Einrichtung kann auch durch ein Datenverarbeitungssystem ersetzt werden mit Eingabemöglichkeit (Computer) und Ablage am Patien-tenplatz.</t>
    </r>
  </si>
  <si>
    <r>
      <t>Ein Nachttischchen</t>
    </r>
    <r>
      <rPr>
        <sz val="10"/>
        <rFont val="Arial"/>
        <family val="2"/>
      </rPr>
      <t xml:space="preserve"> für die persönlichen Gegenstände des Patienten.</t>
    </r>
  </si>
  <si>
    <r>
      <t>Wandschienen</t>
    </r>
    <r>
      <rPr>
        <sz val="10"/>
        <rFont val="Arial"/>
        <family val="2"/>
      </rPr>
      <t xml:space="preserve"> oder Äquivalente auf einer Höhe von zirka 40 und 120 cm zur Fixierung von Pflegeutensilien, Therapie- und Überwachungsgeräten. Deckenschienen und/oder Konsolen zur Aufhängung von Infusionen, Per-fusoren, Infusomaten und anderen Apparaturen.</t>
    </r>
  </si>
  <si>
    <r>
      <t xml:space="preserve">Die </t>
    </r>
    <r>
      <rPr>
        <u/>
        <sz val="10"/>
        <rFont val="Arial"/>
        <family val="2"/>
      </rPr>
      <t>Anordnung der Einrichtungen</t>
    </r>
    <r>
      <rPr>
        <sz val="10"/>
        <rFont val="Arial"/>
        <family val="2"/>
      </rPr>
      <t xml:space="preserve"> muss mit den vorhandenen Mitteln in einer Weise möglich sein, dass sie selbst frei zugänglich bleiben und auch der Zugang zum Patienten nicht behindert wird.</t>
    </r>
  </si>
  <si>
    <r>
      <t xml:space="preserve">Er ist </t>
    </r>
    <r>
      <rPr>
        <u/>
        <sz val="10"/>
        <rFont val="Arial"/>
        <family val="2"/>
      </rPr>
      <t>Träger des eidgenössischen Facharzttitels Intensivmedizin</t>
    </r>
    <r>
      <rPr>
        <sz val="10"/>
        <rFont val="Arial"/>
        <family val="2"/>
      </rPr>
      <t>.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t>
    </r>
  </si>
  <si>
    <r>
      <t>Die</t>
    </r>
    <r>
      <rPr>
        <b/>
        <sz val="10"/>
        <rFont val="Arial"/>
        <family val="2"/>
      </rPr>
      <t xml:space="preserve"> </t>
    </r>
    <r>
      <rPr>
        <u/>
        <sz val="10"/>
        <rFont val="Arial"/>
        <family val="2"/>
      </rPr>
      <t>Mindestarbeitszeit</t>
    </r>
    <r>
      <rPr>
        <sz val="10"/>
        <rFont val="Arial"/>
        <family val="2"/>
      </rPr>
      <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t>
    </r>
  </si>
  <si>
    <r>
      <rPr>
        <b/>
        <sz val="11"/>
        <rFont val="Arial"/>
        <family val="2"/>
      </rPr>
      <t>Pflegeberechnung:</t>
    </r>
    <r>
      <rPr>
        <sz val="11"/>
        <rFont val="Arial"/>
        <family val="2"/>
      </rPr>
      <t xml:space="preserve">     siehe Excel-Blatt "ETP-FTE"</t>
    </r>
  </si>
  <si>
    <r>
      <rPr>
        <b/>
        <sz val="11"/>
        <rFont val="Arial"/>
        <family val="2"/>
      </rPr>
      <t xml:space="preserve">Calcul de dotation en soins: </t>
    </r>
    <r>
      <rPr>
        <sz val="11"/>
        <rFont val="Arial"/>
        <family val="2"/>
      </rPr>
      <t xml:space="preserve">    cf. Onglet Excel "ETP-FTE"</t>
    </r>
  </si>
  <si>
    <r>
      <t>Mindestens ein Drittel</t>
    </r>
    <r>
      <rPr>
        <b/>
        <sz val="10"/>
        <rFont val="Arial"/>
        <family val="2"/>
      </rPr>
      <t xml:space="preserve"> </t>
    </r>
    <r>
      <rPr>
        <sz val="10"/>
        <rFont val="Arial"/>
        <family val="2"/>
      </rPr>
      <t xml:space="preserve">der verlangten, minimalen Vollzeitstellenprozente des Pflegepersonals muss über das </t>
    </r>
    <r>
      <rPr>
        <u/>
        <sz val="10"/>
        <rFont val="Arial"/>
        <family val="2"/>
      </rPr>
      <t>Diplom</t>
    </r>
    <r>
      <rPr>
        <b/>
        <sz val="10"/>
        <rFont val="Arial"/>
        <family val="2"/>
      </rPr>
      <t xml:space="preserve"> </t>
    </r>
    <r>
      <rPr>
        <sz val="10"/>
        <rFont val="Arial"/>
        <family val="2"/>
      </rPr>
      <t>Experte in Intensivpflege NDS HF oder eine gleichwertige Ausbildung verfügen. Über die Gleichwertigkeit entscheidet der Vorstand der SGI.</t>
    </r>
  </si>
  <si>
    <t xml:space="preserve">Die IS soll täglich auf Anforderung Physiotherapiedienstleistungen in Anspruch nehmen können. </t>
  </si>
  <si>
    <r>
      <t>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t>
    </r>
    <r>
      <rPr>
        <vertAlign val="subscript"/>
        <sz val="10"/>
        <rFont val="Arial"/>
        <family val="2"/>
      </rPr>
      <t>2</t>
    </r>
    <r>
      <rPr>
        <sz val="10"/>
        <rFont val="Arial"/>
        <family val="2"/>
      </rPr>
      <t xml:space="preserve">, Atemfrequenz. Körpertemperatur inklusive hypothermer Bereiche. </t>
    </r>
  </si>
  <si>
    <t>Stadt</t>
  </si>
  <si>
    <t>Ville</t>
  </si>
  <si>
    <t>Die ärztliche und pflegerische Leitung der Intensivstation bestätigen mit ihrer Unterschrift die Richtigkeit der Daten:</t>
  </si>
  <si>
    <t>Les responsables de l'USI confirment avec leur signature la validité des données:</t>
  </si>
  <si>
    <t>Nombre de champs remplis</t>
  </si>
  <si>
    <t>Nombre de champs encore à remplir</t>
  </si>
  <si>
    <t>Somme:</t>
  </si>
  <si>
    <t>Datenkontrolle:</t>
  </si>
  <si>
    <t>ok = Alles ausgefüllt</t>
  </si>
  <si>
    <t>ok = tout rempli</t>
  </si>
  <si>
    <t>Contrôle des données</t>
  </si>
  <si>
    <t>Zusammenfassung aller deklarierten Kriterien</t>
  </si>
  <si>
    <t>Résumé de tous les critères déclarés</t>
  </si>
  <si>
    <t>Somme de tous les points obtenus</t>
  </si>
  <si>
    <t>% du nombre maximal obtenu</t>
  </si>
  <si>
    <t>Sommes des points non-obtenus</t>
  </si>
  <si>
    <t>Summe der nicht erreichten Punkte</t>
  </si>
  <si>
    <t>% obtenu:</t>
  </si>
  <si>
    <t>Points non-obtenus</t>
  </si>
  <si>
    <t>Maximalpunktzahl gemäss Kriterien</t>
  </si>
  <si>
    <t>Mindestanforderung gemäss Kriterien</t>
  </si>
  <si>
    <t>Nombre maximal selon critères</t>
  </si>
  <si>
    <t>Nombre théorique maximal</t>
  </si>
  <si>
    <t>Exigence minimale selon critères</t>
  </si>
  <si>
    <t>% exigés pour certification sans conditions</t>
  </si>
  <si>
    <t>Datensatz inkomplett! Anzahl noch auszufüllender Kriterien:</t>
  </si>
  <si>
    <t xml:space="preserve">Données incomplètes! Nombre de critères encore à remplir: </t>
  </si>
  <si>
    <t>Datensatz komplett, Sie können die Selbstdeklaration speichern und ausdrucken.</t>
  </si>
  <si>
    <t>Données complètes, vous pouvez sauvegarder et imprimer l'autodéclaration.</t>
  </si>
  <si>
    <t>Deutsch wählen:</t>
  </si>
  <si>
    <t>Choisir Français:</t>
  </si>
  <si>
    <t>A_012</t>
  </si>
  <si>
    <t>Nicht erreichte Punkte</t>
  </si>
  <si>
    <t>Remarques - Autodéclaration</t>
  </si>
  <si>
    <t>Bemerkungen - Experten ZK</t>
  </si>
  <si>
    <t>Remarques - Experts CC</t>
  </si>
  <si>
    <t>Autodéclaration complète</t>
  </si>
  <si>
    <t xml:space="preserve">Experte </t>
  </si>
  <si>
    <t xml:space="preserve">Expert </t>
  </si>
  <si>
    <t>s</t>
  </si>
  <si>
    <t>Pour la version française, aller dans l'onglet "ANTRAG-DEMANDE" et choisir "F"</t>
  </si>
  <si>
    <t>Zur Änderung auf Deutsch: ins Datenblatt "Antrag-Demande" gehen und "D" wählen</t>
  </si>
  <si>
    <t>Text 1 Deutsch</t>
  </si>
  <si>
    <t>Texte 1 Français</t>
  </si>
  <si>
    <t>Text 2 Deutsch</t>
  </si>
  <si>
    <t>Texte 2 Français</t>
  </si>
  <si>
    <t>Visite, Document, Fichier</t>
  </si>
  <si>
    <t>Document, Visite</t>
  </si>
  <si>
    <t>Visitation, Dokument, Datei</t>
  </si>
  <si>
    <t>Chaque  appareil  dispose  d'une  fiche/d'un  fichier  sur lequel  sont notifiées les informations relatives à ses réparations et les contrôles techniques.</t>
  </si>
  <si>
    <t>Datensatz Kriterien Visitation vollständig</t>
  </si>
  <si>
    <t>Données Critères Visitation complète</t>
  </si>
  <si>
    <t>Selbstdeklaration vollständig</t>
  </si>
  <si>
    <t>Text 2</t>
  </si>
  <si>
    <t>Text 1</t>
  </si>
  <si>
    <t xml:space="preserve">Für die Zertifizierungskomission:
  </t>
  </si>
  <si>
    <t xml:space="preserve">Pour la Comission de Certification:
  </t>
  </si>
  <si>
    <t xml:space="preserve">Datensatz Kriterien Visitation unvollständig. Noch auszufüllen:  </t>
  </si>
  <si>
    <t xml:space="preserve">Données Critères Visitation incomplète. Encore à remplir:   </t>
  </si>
  <si>
    <t xml:space="preserve">Données Autodéclaration incomplète. Encore à remplir:  </t>
  </si>
  <si>
    <t xml:space="preserve">Datensatz Selbstdeklaration unvollständig. Noch auszufüllen:   </t>
  </si>
  <si>
    <t>Date Visite</t>
  </si>
  <si>
    <t>Teilnehmer</t>
  </si>
  <si>
    <t>Participant</t>
  </si>
  <si>
    <t>Participants de l'hôpital</t>
  </si>
  <si>
    <t>Teilnehmer des Spitals</t>
  </si>
  <si>
    <t>Neubau</t>
  </si>
  <si>
    <t>Renovation</t>
  </si>
  <si>
    <t>Croix</t>
  </si>
  <si>
    <t>X</t>
  </si>
  <si>
    <t>x</t>
  </si>
  <si>
    <t>Bitte Zahl eintragen</t>
  </si>
  <si>
    <t>Typ der Intensivstation</t>
  </si>
  <si>
    <t>Bitte "X" wählen (1 Auswahl)</t>
  </si>
  <si>
    <t>Choisir "X" svp (1 choix)</t>
  </si>
  <si>
    <t>Type d'USI</t>
  </si>
  <si>
    <t>Fehler im Antrag  !</t>
  </si>
  <si>
    <t>Changement du médecin responsable</t>
  </si>
  <si>
    <t>Changement du soignant responsable</t>
  </si>
  <si>
    <t>Änderung der Bettenanzahl</t>
  </si>
  <si>
    <t>Changement du nombre de lit</t>
  </si>
  <si>
    <t>Nouvelle Construction</t>
  </si>
  <si>
    <t>Renovierung</t>
  </si>
  <si>
    <t>Ablauf des Zertifikats</t>
  </si>
  <si>
    <t>Fin du Certificat</t>
  </si>
  <si>
    <t>Andere</t>
  </si>
  <si>
    <t>Autres</t>
  </si>
  <si>
    <t>Texte libre</t>
  </si>
  <si>
    <t>Freier Text</t>
  </si>
  <si>
    <t>Ist diese Station bereits einmal zertifiziert oder anerkannt worden?</t>
  </si>
  <si>
    <t>Bettenzahl für diesen Antrag</t>
  </si>
  <si>
    <t>Bitte die Zahl der zu zertifizierenden Betten eingeben</t>
  </si>
  <si>
    <t>Choisir svp</t>
  </si>
  <si>
    <t>Re-Zertifizierung, bitte orangene Felder ausfüllen</t>
  </si>
  <si>
    <t>dd.mm.yyyy</t>
  </si>
  <si>
    <t>Gründe des Antrags auf Rezertifizierung</t>
  </si>
  <si>
    <t>Raisons de la demande pour la récertification</t>
  </si>
  <si>
    <t>Wechsel der ärztlichen Leitung</t>
  </si>
  <si>
    <t>Baujahr</t>
  </si>
  <si>
    <t>Année de construction</t>
  </si>
  <si>
    <t>Ursprünglicher Bau (yyyy)</t>
  </si>
  <si>
    <t>Année de la dernière renovation</t>
  </si>
  <si>
    <t>Jahr der letzten Renovierung</t>
  </si>
  <si>
    <t>Bettenanzahl für dieses Zertifikat:</t>
  </si>
  <si>
    <t>Nombre de lits pour ce certificat:</t>
  </si>
  <si>
    <t>Beginn der Visitation</t>
  </si>
  <si>
    <t>Début de la visite</t>
  </si>
  <si>
    <t>Ende der Visitation</t>
  </si>
  <si>
    <t>Fin de la visite</t>
  </si>
  <si>
    <t>Pflegepersonal</t>
  </si>
  <si>
    <t>Personnel soignant</t>
  </si>
  <si>
    <t>Zusätzliches Personal</t>
  </si>
  <si>
    <t>Personnel supplémentaire</t>
  </si>
  <si>
    <t>Zusammenfassung</t>
  </si>
  <si>
    <t>Conclusion</t>
  </si>
  <si>
    <t>Kommentare der Experten</t>
  </si>
  <si>
    <t>Commentaires des experts</t>
  </si>
  <si>
    <t>Muss-Kriterien</t>
  </si>
  <si>
    <t>Critères obligatoire</t>
  </si>
  <si>
    <t>Kann-Kriterien</t>
  </si>
  <si>
    <t>Critères souhaitables</t>
  </si>
  <si>
    <t xml:space="preserve">Erfüllt: </t>
  </si>
  <si>
    <t xml:space="preserve"> %,  Nicht-erreichte Punkte: </t>
  </si>
  <si>
    <t xml:space="preserve">Obtenu: </t>
  </si>
  <si>
    <t xml:space="preserve">%,   Points non-obtenus: </t>
  </si>
  <si>
    <t>Stärken</t>
  </si>
  <si>
    <t>Forces</t>
  </si>
  <si>
    <t>Mängel</t>
  </si>
  <si>
    <t>Manques</t>
  </si>
  <si>
    <t>Empfehlungen - Verbesserungsvorschläge</t>
  </si>
  <si>
    <t>Recommendations - Propositions d'amélioration</t>
  </si>
  <si>
    <t>Auflagen (obligatorisch)</t>
  </si>
  <si>
    <t>Conditions (obligatoires)</t>
  </si>
  <si>
    <t>↓</t>
  </si>
  <si>
    <t>L'USI respecte les principes de la médecine basée sur des preuves. Ses concepts thérapeutiques correspondent aux recommendation en vigeur (p.ex. de la SSMI ou de l'ASSM).</t>
  </si>
  <si>
    <r>
      <rPr>
        <b/>
        <sz val="8"/>
        <color theme="1"/>
        <rFont val="Calibri"/>
        <family val="2"/>
      </rPr>
      <t>←</t>
    </r>
    <r>
      <rPr>
        <b/>
        <sz val="8"/>
        <color theme="1"/>
        <rFont val="Calibri"/>
        <family val="2"/>
        <scheme val="minor"/>
      </rPr>
      <t xml:space="preserve">  Bitte hier Sprache wählen
       Choisissez la langue ici</t>
    </r>
  </si>
  <si>
    <t>Experte</t>
  </si>
  <si>
    <t>Spécialiste Médecine Intensive</t>
  </si>
  <si>
    <t>Experte/in Intensivpflege</t>
  </si>
  <si>
    <t>Expert(e) en Soins Intensifs</t>
  </si>
  <si>
    <t>Fachausbildung Experte:</t>
  </si>
  <si>
    <t>Dienstfunktion</t>
  </si>
  <si>
    <t>Name</t>
  </si>
  <si>
    <t>Experten</t>
  </si>
  <si>
    <t>Experts</t>
  </si>
  <si>
    <t>Nom</t>
  </si>
  <si>
    <t>Fonction</t>
  </si>
  <si>
    <t>Spécialisation Expert</t>
  </si>
  <si>
    <t>Teilnehmer Station / Spital</t>
  </si>
  <si>
    <t>Participant Unité SI / Hôpital</t>
  </si>
  <si>
    <t>Kommentare</t>
  </si>
  <si>
    <t>Commentaires</t>
  </si>
  <si>
    <t>Kommentare (temporär, für die Experten)
nur ZK-intern</t>
  </si>
  <si>
    <t>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t>
  </si>
  <si>
    <t>Anzahl Schichten</t>
  </si>
  <si>
    <t>n /24h</t>
  </si>
  <si>
    <t>Nombre de plages horaire</t>
  </si>
  <si>
    <t>4.3-6.
Zusätzliches Personal</t>
  </si>
  <si>
    <t>4.3-6.
Personnel autre</t>
  </si>
  <si>
    <t>Zusammenfassung: Stärken</t>
  </si>
  <si>
    <t>Résumés: Forces</t>
  </si>
  <si>
    <t>Zusammenfassung: Mängel</t>
  </si>
  <si>
    <t>Résumés: Faiblesses</t>
  </si>
  <si>
    <t>Abschliessende Beurteilung der Experten</t>
  </si>
  <si>
    <t>Conclusion des experts</t>
  </si>
  <si>
    <t>Certification pour le nombre de lits demandés</t>
  </si>
  <si>
    <t>Begründung</t>
  </si>
  <si>
    <t>Justification</t>
  </si>
  <si>
    <t>←</t>
  </si>
  <si>
    <t>Résumé</t>
  </si>
  <si>
    <t xml:space="preserve">Anzahl Betten: </t>
  </si>
  <si>
    <t xml:space="preserve">Nombre de lits: </t>
  </si>
  <si>
    <t>Die Experten empfehlen, die Station NICHT zu zertifieren.</t>
  </si>
  <si>
    <t>Les experts recommandent de ne PAS certifier l'unité.</t>
  </si>
  <si>
    <t>Les experts recommandent de certifier l'unité de soins intensifs avec les conditions mentionnées.</t>
  </si>
  <si>
    <t>Les experts recommandent de certifier l'unité sans conditions.</t>
  </si>
  <si>
    <t>SELBSTDEKLARATION</t>
  </si>
  <si>
    <t>AUTODECLARATION</t>
  </si>
  <si>
    <t>Demande de certification</t>
  </si>
  <si>
    <t>Total</t>
  </si>
  <si>
    <t>Compensation  travail de nuit</t>
  </si>
  <si>
    <t>Stundenbedarf für eine 24h-Präsenz</t>
  </si>
  <si>
    <t>Données de l'unité</t>
  </si>
  <si>
    <t>Daten der Station</t>
  </si>
  <si>
    <t>Visitationsbericht Zusammenfassung: Wird automatisch ausgefüllt (zur Generierung pdf und Ausdruck)</t>
  </si>
  <si>
    <t>Est-ce que l'unité a déjà été certifiée ou reconnue dans le passé?</t>
  </si>
  <si>
    <t>Première Certification: Merci de laissser les champs oranges vide</t>
  </si>
  <si>
    <t>Catégorie 1 A</t>
  </si>
  <si>
    <t>Catégorie 1 B</t>
  </si>
  <si>
    <t>Catégorie 2</t>
  </si>
  <si>
    <t>Catégorie 3</t>
  </si>
  <si>
    <t>Inscrire le nombre de lits à certifier svp</t>
  </si>
  <si>
    <t>Construction (aaaa)</t>
  </si>
  <si>
    <t>Re-certification, remplir les champs oranges svp</t>
  </si>
  <si>
    <t>Introduire le chiffre svp</t>
  </si>
  <si>
    <t>Commentaires des experts seulement interne à la CC</t>
  </si>
  <si>
    <t>Kommentare Team</t>
  </si>
  <si>
    <t>Commentaires team</t>
  </si>
  <si>
    <t>Vorgeschichte</t>
  </si>
  <si>
    <t>Histoire avant visite</t>
  </si>
  <si>
    <t>Ereignisse nach der Visite</t>
  </si>
  <si>
    <t>Histoire après la visite</t>
  </si>
  <si>
    <t>Erreur dans le formulaire de demande !</t>
  </si>
  <si>
    <t>Geschichte der Station</t>
  </si>
  <si>
    <t>Histoire de l'unité</t>
  </si>
  <si>
    <t>Ereignisse
nach der Visite</t>
  </si>
  <si>
    <t>Evènements
après la visite</t>
  </si>
  <si>
    <t>Histoire avant visite: peut être remli par l'IMK avant distribution du fichier</t>
  </si>
  <si>
    <t>Vorgeschichte: kann auch von IMK ausgefüllt werden (bei Erhalt der Datei)</t>
  </si>
  <si>
    <t>Beobachter</t>
  </si>
  <si>
    <t>Observateur</t>
  </si>
  <si>
    <t>Nouvelle Certification</t>
  </si>
  <si>
    <t>Bettenanzahl bisher zertifiziert</t>
  </si>
  <si>
    <t>Nombre de lits déjà certifiés</t>
  </si>
  <si>
    <t>Die nächsten Seiten beinhalten die detaillierten Angaben zu den Kriterien. Zusammenfassung s. letzte zwei Seiten</t>
  </si>
  <si>
    <t>Les page suivantes contiennent les détails sur les critères. Résumé cf. deux dernières pages</t>
  </si>
  <si>
    <t xml:space="preserve">Abschliessender Kommentar Kapitel </t>
  </si>
  <si>
    <t xml:space="preserve">Commentaire final Chapitre </t>
  </si>
  <si>
    <t>Les remarques sont reprises depuis les champs bleus ci-dessus.</t>
  </si>
  <si>
    <t>Si autre nombre de lits inscrire chiffre</t>
  </si>
  <si>
    <t>Vorschläge der Delegation</t>
  </si>
  <si>
    <t>Propositions de la délegation</t>
  </si>
  <si>
    <t>Certification de l'unité:</t>
  </si>
  <si>
    <t>Oui</t>
  </si>
  <si>
    <t>Non</t>
  </si>
  <si>
    <t>(Bettenzahl anders als beantragt)</t>
  </si>
  <si>
    <t>(Nombre de lits différent que demandé)</t>
  </si>
  <si>
    <t>Ja, siehe unten</t>
  </si>
  <si>
    <t>Oui, cf. infra</t>
  </si>
  <si>
    <t>Nein, keine</t>
  </si>
  <si>
    <t>Non, aucune</t>
  </si>
  <si>
    <t>Responsable médical</t>
  </si>
  <si>
    <t>Responsable Soins</t>
  </si>
  <si>
    <t>Falls andere Bettenanzahl: Zahl eintragen</t>
  </si>
  <si>
    <t>Falls NEIN: Zertifiaktion für andere Bettenanzahl?</t>
  </si>
  <si>
    <t>Si NON: Certification pour autre nombre de lits?</t>
  </si>
  <si>
    <t>Conditions obligatoires (laisser vide si pas de certification) ?</t>
  </si>
  <si>
    <t>Abschliessende Bemerkungen der Experten pro Kapiteln</t>
  </si>
  <si>
    <t>Remarques conclusifs des experts par chapitre</t>
  </si>
  <si>
    <t>01</t>
  </si>
  <si>
    <t>02</t>
  </si>
  <si>
    <t>xls</t>
  </si>
  <si>
    <t>Nr</t>
  </si>
  <si>
    <t>Antragsformular_VII_Selbstdeklaration_Qualitätskriterien</t>
  </si>
  <si>
    <t>Antragsformular_IV_ZertifizierungIntensivstation</t>
  </si>
  <si>
    <t>Antrag Pdf</t>
  </si>
  <si>
    <t>00</t>
  </si>
  <si>
    <t>pdf</t>
  </si>
  <si>
    <t>ANTRAG-Excel</t>
  </si>
  <si>
    <t>03</t>
  </si>
  <si>
    <t>MDSi (letztes Jahr)</t>
  </si>
  <si>
    <t>MDSi (vorletztes Jahr)</t>
  </si>
  <si>
    <t>Organisationsreglement</t>
  </si>
  <si>
    <t>ArchitektonischerLageplan</t>
  </si>
  <si>
    <t>BestätigungEinhaltungNormen</t>
  </si>
  <si>
    <t>LeistungsauftragKtGesundheitsbehörde</t>
  </si>
  <si>
    <t>LeistungsauftragVerwaltungsrat</t>
  </si>
  <si>
    <t>04</t>
  </si>
  <si>
    <t>05</t>
  </si>
  <si>
    <t>06</t>
  </si>
  <si>
    <t>07</t>
  </si>
  <si>
    <t>08</t>
  </si>
  <si>
    <t>DienstplanAerzte</t>
  </si>
  <si>
    <t>09</t>
  </si>
  <si>
    <t>DienstplanPflege</t>
  </si>
  <si>
    <t>10</t>
  </si>
  <si>
    <t>11</t>
  </si>
  <si>
    <t>12</t>
  </si>
  <si>
    <t>DiplomAerztlicheLeitung</t>
  </si>
  <si>
    <t>DiplomPflegeLeitung</t>
  </si>
  <si>
    <t>Weitere Dokumente</t>
  </si>
  <si>
    <t>Nom fichier exel:</t>
  </si>
  <si>
    <t>Name Excel-Datei:</t>
  </si>
  <si>
    <t>VISITE_Rapport_Longue</t>
  </si>
  <si>
    <t>Name pdf-Datei:</t>
  </si>
  <si>
    <t>Nom fichier pdf:</t>
  </si>
  <si>
    <t>VISITATION_Bericht_lang</t>
  </si>
  <si>
    <t>VISITATION_Bericht_kurz</t>
  </si>
  <si>
    <t>VISITE_Rapport_bref</t>
  </si>
  <si>
    <t xml:space="preserve">Dokumente der Visitationsdelegation </t>
  </si>
  <si>
    <t>Visitation  Excel</t>
  </si>
  <si>
    <t>Visitation Kompletter Bericht</t>
  </si>
  <si>
    <t>Visitation Kurzer Bericht</t>
  </si>
  <si>
    <t>N°</t>
  </si>
  <si>
    <t>Date Doc</t>
  </si>
  <si>
    <t>Constants</t>
  </si>
  <si>
    <t>Date Demande/Antrag</t>
  </si>
  <si>
    <t>VisitationBerichtKomplett</t>
  </si>
  <si>
    <t>VisitationBerichtKurz</t>
  </si>
  <si>
    <t>20</t>
  </si>
  <si>
    <t>Architektonischer Lageplan</t>
  </si>
  <si>
    <t>Bestätigung Einhaltung Normen</t>
  </si>
  <si>
    <t>Leistungsauftrag Kt Gesundheitsbehörde</t>
  </si>
  <si>
    <t>Leistungsauftrag Verwaltungsrat</t>
  </si>
  <si>
    <t>Dienstplan Ärzte</t>
  </si>
  <si>
    <t>Dienstplan Pflege</t>
  </si>
  <si>
    <t>Diplom PflegeLeitung</t>
  </si>
  <si>
    <t>VISITE</t>
  </si>
  <si>
    <t>VISITATION</t>
  </si>
  <si>
    <t>VisiteRapportLongue</t>
  </si>
  <si>
    <t>VisiteRapportCourt</t>
  </si>
  <si>
    <t>Spitalname - Kurzform</t>
  </si>
  <si>
    <t>Nom hôpital - forme abbrégée</t>
  </si>
  <si>
    <t>Stationsname - Kurzform</t>
  </si>
  <si>
    <t>Nom unité - forme abbrégée</t>
  </si>
  <si>
    <t>Nom complet officiel</t>
  </si>
  <si>
    <t>Bitte nur 1  Feld auswählen</t>
  </si>
  <si>
    <t>Cocher 1 seul champ svp</t>
  </si>
  <si>
    <t>SVP, sans espace, caractères spéciaux, accent, Umlaut, etc. Ex.: "HopitalGeneve" ou "CHUV"</t>
  </si>
  <si>
    <t>Bitte ohne Leerzeichen, Sonderzeichen, Akzente und Umlaute. z.B.:  "SpitalMuensterlingen" oder "USZ"</t>
  </si>
  <si>
    <t>Besetzte Stellen laut MDSi</t>
  </si>
  <si>
    <t>Postes occupés selon MDSi</t>
  </si>
  <si>
    <t>Arbeitszeit</t>
  </si>
  <si>
    <t>Temps de travail</t>
  </si>
  <si>
    <t>Bewilligte  Stellen</t>
  </si>
  <si>
    <t>Falls nicht zutreffend bitte leerlassen</t>
  </si>
  <si>
    <t>Laisser vide svp si pas applicable</t>
  </si>
  <si>
    <t>Führungsverantwortliche / Management</t>
  </si>
  <si>
    <t>Pflegeexperten, Forschung</t>
  </si>
  <si>
    <t>Berufsbildner, Kliniklehrer</t>
  </si>
  <si>
    <t>Durschnitt des letzten Kalenderjahres</t>
  </si>
  <si>
    <t>Moyenne de la dernière année calendrière</t>
  </si>
  <si>
    <t>Rahmenlehrplan für Nachdiplomstudien der höheren Fachschulen "Anästhesiepflege" / "Intensivpflege" / "Notfallpflege" Stand am 5.4.2012 :
https://www.odasante.ch/fileadmin/odasante.ch/docs/Hoehere_Berufsbildung_und_Hochschulen/RLP-AIN_d_05042012_Unterschriften.pdf 
7.1.2 Umwandlung des Titels der Fachrichtung Intensivpflege
Die Inhaberinnen / Inhaber des bisherigen Fähigkeitsausweises dipl. Pflegefachfrau Intensivpflege / dipl. Pflegefachmann Intensivpflege, ausgestellt gemäss dem «Reglement und Lernbereiche / Lernziele Weiterbildung in Intensivpflege» des Schweizer Berufsverbandes der Pflegefachfrauen und Pflegefachmänner SBK (letztes Revisionsdatum 1. Januar 1991), sind berechtigt, den neuen Titel dipl. Expertin/ dipl. Experte NDS HF Intensivpflege zu tragen.</t>
  </si>
  <si>
    <t>Fachmann / Fachfrau Gesundheit EFZ (FAGE)</t>
  </si>
  <si>
    <t>Pflegestellen</t>
  </si>
  <si>
    <t>seit (Jahr):</t>
  </si>
  <si>
    <t>Anmerkung</t>
  </si>
  <si>
    <t>Text (frei), falls Erklärung nötig</t>
  </si>
  <si>
    <t>Bitte nur Anteil für administrative Aktivität auf der Intensivsstation angeben (%). 
Der Anteil muss auch bei "Arbeit nicht am Bett" (s.u.) miteinbezogen werden.</t>
  </si>
  <si>
    <t>Bitte nur Anteil der Arbeit am Bett angeben (%).
Der Anteil muss auch bei "Arbeit am Bett" (s.u.) miteingegeben werden.</t>
  </si>
  <si>
    <t>Responsable médical suppléant</t>
  </si>
  <si>
    <t>Kategorie 1 A</t>
  </si>
  <si>
    <t>Kategorie 1 B</t>
  </si>
  <si>
    <t>Kategorie 2</t>
  </si>
  <si>
    <t>Kategorie 3</t>
  </si>
  <si>
    <t>Bitte Anzahl besetzte u. bewilligte Stellen (FTE) eingeben</t>
  </si>
  <si>
    <t>Ärzte in WB Intensivmedizin (FTE)</t>
  </si>
  <si>
    <t>Ärzte, übrige (einschl. Rotationsärzten; FTE)</t>
  </si>
  <si>
    <t>Fachärzte Intensivmedizin, n Personen</t>
  </si>
  <si>
    <t>Konsiliardienst im Spital</t>
  </si>
  <si>
    <t>Konsiliardienst, extern</t>
  </si>
  <si>
    <t>Angaben zu Spital &amp; Umgebung</t>
  </si>
  <si>
    <t>Anzahl Akutbetten im Spital</t>
  </si>
  <si>
    <t>Einzugsgebiet, Bevölkerung</t>
  </si>
  <si>
    <t>Bitte Zahl der Bevölkerung, für die das Spital Erstbehandlung durchführt, eingeben.</t>
  </si>
  <si>
    <t>Einzugsgebiet, Region</t>
  </si>
  <si>
    <t>Bitte die Region, für die das Spital Erstbehandlung durchführt, eingeben. Freier Text.</t>
  </si>
  <si>
    <t>Bitte offizielle Zahl des Spitals /Spitanetzes eingeben</t>
  </si>
  <si>
    <t>Andere Intensivstationen im Spital</t>
  </si>
  <si>
    <t>Bitte jede andere Station mit Bezeichung aufführen. Freier Text.</t>
  </si>
  <si>
    <t>Bitte ohne Leerzeichen, Sonderzeichen, Akzente und Umlaute. 
z.B.:  "Intensivstation" oder "Neonatologie" oder "CHIPS"</t>
  </si>
  <si>
    <t>SVP, sans espace, caractères spéciaux, accent, Umlaut, etc. 
p.ex.: "SoinsIntensifs" ou "SI_Adulte" ou "SMIA"</t>
  </si>
  <si>
    <t>Bitte "X" wählen wenn zutreffend (mehrere Antworten möglich, mindestens eine)</t>
  </si>
  <si>
    <t>Choisir "X" svp si indiqué (plusieurs réponses possibles, au moins une svp)</t>
  </si>
  <si>
    <t>Anzahl IMC-Betten im Spital</t>
  </si>
  <si>
    <t>Anzahl Aufwachraum-Betten im Spital</t>
  </si>
  <si>
    <t>Bitte Spitäler aufführen. Freier Text.</t>
  </si>
  <si>
    <t>Benachbarte Intensivstationen in anderen Spitälern</t>
  </si>
  <si>
    <r>
      <rPr>
        <b/>
        <sz val="10"/>
        <color theme="1"/>
        <rFont val="Calibri"/>
        <family val="2"/>
      </rPr>
      <t>←</t>
    </r>
    <r>
      <rPr>
        <b/>
        <sz val="10"/>
        <color theme="1"/>
        <rFont val="Calibri"/>
        <family val="2"/>
        <scheme val="minor"/>
      </rPr>
      <t xml:space="preserve">  Bitte hier Sprache wählen
       Choisissez la langue ici</t>
    </r>
  </si>
  <si>
    <t>Date Doc Formule</t>
  </si>
  <si>
    <t>Antrag Station Excel
(diese komplette Datei,  Format xlsx)</t>
  </si>
  <si>
    <t>1 ANTRAG-DEMANDE</t>
  </si>
  <si>
    <t>Antrag komplett ausfüllen</t>
  </si>
  <si>
    <t>2 Autodeklaration</t>
  </si>
  <si>
    <t>Antrag drucken + pdf speichern</t>
  </si>
  <si>
    <t>Brief</t>
  </si>
  <si>
    <t>Dokumente zusammenstellen</t>
  </si>
  <si>
    <t>Etappe</t>
  </si>
  <si>
    <t>2</t>
  </si>
  <si>
    <t>3</t>
  </si>
  <si>
    <t>4</t>
  </si>
  <si>
    <t>5</t>
  </si>
  <si>
    <t>Antrag elektronisch verschicken</t>
  </si>
  <si>
    <t>Antrag per Post verschicken</t>
  </si>
  <si>
    <t>Dokumente für Postsendung</t>
  </si>
  <si>
    <t>Format für elektronische Form</t>
  </si>
  <si>
    <t>-</t>
  </si>
  <si>
    <t>Nötige Dokumente für den Antrag</t>
  </si>
  <si>
    <t>Anzahl Zimmer</t>
  </si>
  <si>
    <t>2 Bett-Zimmer</t>
  </si>
  <si>
    <t>3 Bett-Zimmer</t>
  </si>
  <si>
    <t>4 Bett-Zimmer</t>
  </si>
  <si>
    <t>&gt;4 Betten pro Zimmer</t>
  </si>
  <si>
    <t>Bettenanzahl Total, alle Zimmer</t>
  </si>
  <si>
    <t>Fläche pro Zimmer (m2)</t>
  </si>
  <si>
    <t>Zimmer</t>
  </si>
  <si>
    <t>Einzel-Zimmer, Isolation (mit Schleuse)</t>
  </si>
  <si>
    <t>Einzel-Zimmer, keine Schleuse</t>
  </si>
  <si>
    <t>Formules</t>
  </si>
  <si>
    <t>Minimum</t>
  </si>
  <si>
    <t>FTE Leitung Arzt</t>
  </si>
  <si>
    <t>% Minimum</t>
  </si>
  <si>
    <t>Total actuel</t>
  </si>
  <si>
    <t>Zahl zu tief, bitte Angaben "Zimmer" korrigieren</t>
  </si>
  <si>
    <t>Anzahl Schichten pro Jahr (letzte 2 Kalenderjahre)</t>
  </si>
  <si>
    <t>Nombre d'horaire par an (deux dernières années)</t>
  </si>
  <si>
    <t>info@swiss-icu-cert.ch</t>
  </si>
  <si>
    <t>Aktivität der Station</t>
  </si>
  <si>
    <t>Eintritte pro Jahr</t>
  </si>
  <si>
    <t>Admissions par année</t>
  </si>
  <si>
    <t>Total Schichten pro Jahr</t>
  </si>
  <si>
    <t>Total Horaires par année</t>
  </si>
  <si>
    <t>Belegung nach Schichten</t>
  </si>
  <si>
    <t>Total Schichten / (3 Schichten x n Bettenzahl x 365 Tage)</t>
  </si>
  <si>
    <t>Mini/Maxi</t>
  </si>
  <si>
    <t>Pflegebedarf</t>
  </si>
  <si>
    <t>FTE</t>
  </si>
  <si>
    <t>Arbeitsstunden pro Jahr</t>
  </si>
  <si>
    <t>Kategorien</t>
  </si>
  <si>
    <t>Spezifischer Bedarf</t>
  </si>
  <si>
    <t>Experte IP 100%</t>
  </si>
  <si>
    <t>FAGE max 80%</t>
  </si>
  <si>
    <t>CAVE: Bedarf Daten, die weiter unten erst eingegeben werden (Arbeitszeit)</t>
  </si>
  <si>
    <t>USI</t>
  </si>
  <si>
    <t>Kat. 1A + 1B :</t>
  </si>
  <si>
    <t>Kat 3:</t>
  </si>
  <si>
    <t>≥40</t>
  </si>
  <si>
    <t>≥16</t>
  </si>
  <si>
    <t>≥20</t>
  </si>
  <si>
    <t>≥15%</t>
  </si>
  <si>
    <t>≤30%</t>
  </si>
  <si>
    <t>correct si&lt;6:</t>
  </si>
  <si>
    <t>Bedarf 100%:</t>
  </si>
  <si>
    <t>Bedarf 80%:</t>
  </si>
  <si>
    <t>≥80%</t>
  </si>
  <si>
    <t>Aktuell</t>
  </si>
  <si>
    <t>Reglement</t>
  </si>
  <si>
    <t>Total, Ärzte (FTE)</t>
  </si>
  <si>
    <t>Quantitative Kriterien</t>
  </si>
  <si>
    <t>Besetzt</t>
  </si>
  <si>
    <t>Corrigé</t>
  </si>
  <si>
    <t>Bewilligt</t>
  </si>
  <si>
    <t>Die Berechnung der quantitativen Daten basiert auf den eingegebenen Daten:
 Bettenzahl, Stellen zum Zeitpunkt des Antrags, Aktivität des letzten Kalenderjahres</t>
  </si>
  <si>
    <t>Total am Bett (korrigiert)</t>
  </si>
  <si>
    <t>Korrigiert</t>
  </si>
  <si>
    <t>Einschl. Pflegehilfen, Physio. Ohne Korrektur (FAGE/WB)</t>
  </si>
  <si>
    <t>ALLE Stellen</t>
  </si>
  <si>
    <t>Invasive Kreislaufmessungen, Art</t>
  </si>
  <si>
    <t xml:space="preserve">Kurze Beschreibung, z.B. Drucke, Thermodilution, kontinuierlicher CO, SvO2, PiCCO </t>
  </si>
  <si>
    <t>Spezifische Geräte</t>
  </si>
  <si>
    <t>Beatmungsgeräte, am Bett</t>
  </si>
  <si>
    <t>Beatmungsgeräte, Transport</t>
  </si>
  <si>
    <t>Monitoring, am Bett</t>
  </si>
  <si>
    <t>Monitoring, Transport</t>
  </si>
  <si>
    <t>Beatmungsgeräte, NIV</t>
  </si>
  <si>
    <t>Defibrillatoren</t>
  </si>
  <si>
    <t>Infusionspumpen</t>
  </si>
  <si>
    <t>Perfusoren</t>
  </si>
  <si>
    <t>Ernährungspumpen</t>
  </si>
  <si>
    <t>Hämodialyse</t>
  </si>
  <si>
    <t>Hämofiltration</t>
  </si>
  <si>
    <t>Bronchoskop</t>
  </si>
  <si>
    <t>Intraaortale Ballonpumpe</t>
  </si>
  <si>
    <t>ECMO</t>
  </si>
  <si>
    <t>Ultraschall</t>
  </si>
  <si>
    <t>PDMS</t>
  </si>
  <si>
    <t>Herzschrittmacher, endovaskulär-provisorisch</t>
  </si>
  <si>
    <t>Herzschrittmacher, extern</t>
  </si>
  <si>
    <t>Anzahl Schichten pro Jahr laut MDSi</t>
  </si>
  <si>
    <t>Nombre d'horaires par année selon MDSi</t>
  </si>
  <si>
    <t>Architektonik</t>
  </si>
  <si>
    <t>Sekretariat (FTE)</t>
  </si>
  <si>
    <t>Allgemeine Bemerkungen zu Geräten / Andere Geräte</t>
  </si>
  <si>
    <t>Anzahl Betten pro Zimmer</t>
  </si>
  <si>
    <t>Date</t>
  </si>
  <si>
    <t>Texte</t>
  </si>
  <si>
    <t>Datum</t>
  </si>
  <si>
    <t>Text</t>
  </si>
  <si>
    <r>
      <t xml:space="preserve">ABC
</t>
    </r>
    <r>
      <rPr>
        <b/>
        <sz val="8"/>
        <color theme="1"/>
        <rFont val="Calibri"/>
        <family val="2"/>
        <scheme val="minor"/>
      </rPr>
      <t>Falls mehrere pro Tag</t>
    </r>
  </si>
  <si>
    <t>a</t>
  </si>
  <si>
    <t>Blatt</t>
  </si>
  <si>
    <t>Zelle</t>
  </si>
  <si>
    <t>1 Antrag</t>
  </si>
  <si>
    <t>A1</t>
  </si>
  <si>
    <t>B27-29</t>
  </si>
  <si>
    <t>Auswahl "x" korrigiert</t>
  </si>
  <si>
    <t>Thema</t>
  </si>
  <si>
    <t>Sprachauswahl</t>
  </si>
  <si>
    <t>Aktiviert</t>
  </si>
  <si>
    <t>Typ IPS</t>
  </si>
  <si>
    <t>Die Jahre sind die 2 letzten Kalenderjahre (benötigt Antragsdatum oben)</t>
  </si>
  <si>
    <t>diverse Korrekturen</t>
  </si>
  <si>
    <t>minimal</t>
  </si>
  <si>
    <t>Le calcul des données quantitives se base sur les données suivantes:
Nombre de lits, dotation du personnel au moment de la demande, activité de la dernière année</t>
  </si>
  <si>
    <t xml:space="preserve">Compléter la demande </t>
  </si>
  <si>
    <t xml:space="preserve">Envoyer la demande par courrier electronique </t>
  </si>
  <si>
    <t>Envoyer la demande par poste</t>
  </si>
  <si>
    <t>Compléter l'autodéclaration</t>
  </si>
  <si>
    <t>Imprimer l'autodéclaration + enregistrer PDF</t>
  </si>
  <si>
    <t>Rassembler le dossier</t>
  </si>
  <si>
    <t>Selbstdeklaration komplett ausfüllen</t>
  </si>
  <si>
    <t>Selbstdeklaration drucken + pdf speichern</t>
  </si>
  <si>
    <t>USI Adultes</t>
  </si>
  <si>
    <t>USI pédiatriques</t>
  </si>
  <si>
    <t>USI pédiatriques/néonatologiques</t>
  </si>
  <si>
    <t>Nombre de lits pour cette demande</t>
  </si>
  <si>
    <t>ERSTE ZERTIFIZIERUNG, bitte die orangen Felder leer lassen</t>
  </si>
  <si>
    <t xml:space="preserve">Informations concernant Hôpital et région </t>
  </si>
  <si>
    <t>Bassin de recrutement des patients, région</t>
  </si>
  <si>
    <t>Bassin de recrutement, population</t>
  </si>
  <si>
    <t>Autre unités soins intensifs de l'hôpital</t>
  </si>
  <si>
    <t>Nombres de lits de soins aigus dans l'hôpital</t>
  </si>
  <si>
    <t>Nombres de lits de soins continus (IMC) dans l'hôpital</t>
  </si>
  <si>
    <t>Nombre de lits de salle de réveil dans l'hôpital</t>
  </si>
  <si>
    <t>Nombre de lits des autres USI de l'hôpital</t>
  </si>
  <si>
    <t>Unités de soins intensifs voisines dans d'autres hôpitaux</t>
  </si>
  <si>
    <t>Surface par lit (m2)</t>
  </si>
  <si>
    <t>Fläche pro Bett (m2)</t>
  </si>
  <si>
    <t xml:space="preserve">Activité de la station </t>
  </si>
  <si>
    <t>2 dernières années  (selon date de demande rempli en haut)</t>
  </si>
  <si>
    <t>Occupation selon plages horaires</t>
  </si>
  <si>
    <t>Architecture</t>
  </si>
  <si>
    <t>Chambres</t>
  </si>
  <si>
    <t>Chambre individuelle avec SAS</t>
  </si>
  <si>
    <t>Chambre individuelle sans SAS</t>
  </si>
  <si>
    <t>Chambre à 2 lits</t>
  </si>
  <si>
    <t>Chambre à 3 lits</t>
  </si>
  <si>
    <t xml:space="preserve">Chambre à 4 lits </t>
  </si>
  <si>
    <t>&gt;4 lits par chambre</t>
  </si>
  <si>
    <t>Nombre trop bas, veuillez corriger "chambres"</t>
  </si>
  <si>
    <t xml:space="preserve">Nombre de lits total, toutes les chambres </t>
  </si>
  <si>
    <t>Description de l'organisation  médicale</t>
  </si>
  <si>
    <t>Remarque</t>
  </si>
  <si>
    <t>Taux d'occupation USI (%)</t>
  </si>
  <si>
    <t>FMH Médecine intensive, n personnes</t>
  </si>
  <si>
    <t>Médecins autres (y.c. médecins en rotation; EPT)</t>
  </si>
  <si>
    <t>Spécialités médicales dans l'hôpital</t>
  </si>
  <si>
    <t>Spécialités médicales externes consultables</t>
  </si>
  <si>
    <t>Nombre d'heures de travail par an</t>
  </si>
  <si>
    <t>Responsable directions soins / management</t>
  </si>
  <si>
    <t>Total au pied du lit, (corrigé)</t>
  </si>
  <si>
    <t>Total médecins (EPT)</t>
  </si>
  <si>
    <t>Administration (EPT)</t>
  </si>
  <si>
    <t xml:space="preserve">Total dotation </t>
  </si>
  <si>
    <t xml:space="preserve">Appareils </t>
  </si>
  <si>
    <t>Monitoring au pied du lit</t>
  </si>
  <si>
    <t>Monitoring transport</t>
  </si>
  <si>
    <t xml:space="preserve">Monitoring hémodynamique invasif, description  </t>
  </si>
  <si>
    <t>Ventilateurs au pied du lit</t>
  </si>
  <si>
    <t xml:space="preserve">Ventilateurs, VNI </t>
  </si>
  <si>
    <t xml:space="preserve">Ventilateurs de transport </t>
  </si>
  <si>
    <t xml:space="preserve">Défibrillateurs </t>
  </si>
  <si>
    <t>Pacemaker provisoire endovasculaire</t>
  </si>
  <si>
    <t>Pacemaker externes</t>
  </si>
  <si>
    <t>Pompes à perfusion</t>
  </si>
  <si>
    <t>Pompes pour alimentation</t>
  </si>
  <si>
    <t>Hémodialyse</t>
  </si>
  <si>
    <t xml:space="preserve">Hémofiltration </t>
  </si>
  <si>
    <t xml:space="preserve">Pousse-seringues </t>
  </si>
  <si>
    <t>Bronchoscope</t>
  </si>
  <si>
    <t>Ballon de contre-pulsion</t>
  </si>
  <si>
    <t xml:space="preserve">Remarques suppl. appareils / autre appareils </t>
  </si>
  <si>
    <t>Échographe</t>
  </si>
  <si>
    <t>Étape</t>
  </si>
  <si>
    <t>Critères quantitative</t>
  </si>
  <si>
    <t xml:space="preserve">Actuel </t>
  </si>
  <si>
    <t>Règlement</t>
  </si>
  <si>
    <t>Surface par chambre (m2)</t>
  </si>
  <si>
    <t>Remplir la région, pour la laquelle l'hôpital est référence. Texte libre.</t>
  </si>
  <si>
    <t xml:space="preserve">Remplir le nombre de  population, pour laquelle l'hôpital est la référence. </t>
  </si>
  <si>
    <t>Remplir le nombre officiel de l'hôpital/réseau</t>
  </si>
  <si>
    <t>Bitte Zahl eingeben. Falls keine IMC im Spital, bitte 0 eingeben.</t>
  </si>
  <si>
    <t>Bitte Zahl eingeben. Falls kein Aufwachraum, bitte 0 eingeben.</t>
  </si>
  <si>
    <t>Introduire le nombre svp. Si IMC pas disponible, inscrire 0.</t>
  </si>
  <si>
    <t>Introduire le nombre svp. Si pas de salle de réveil, inscrire 0.</t>
  </si>
  <si>
    <t>Introduire le nombre svp. Si pas d'autre USI, inscrire 0.</t>
  </si>
  <si>
    <t>Listez les hôpitaux. Texte libre.</t>
  </si>
  <si>
    <t>Listez toutes les USI par nom. Texte libre.</t>
  </si>
  <si>
    <t>Nombre de lits par chambre</t>
  </si>
  <si>
    <t>Nombre de chambres</t>
  </si>
  <si>
    <t>Texte (libre), si explication nécessaire</t>
  </si>
  <si>
    <t>Veuillez introduire uniquement le taux pour les activités administratives de l'USI (%).
Cette partie doit également être introduit dans "Travail pas au pied du lit" (cf. infra).</t>
  </si>
  <si>
    <t>Veuillez introduire uniquement le taux pour le travail au lit du patient (%).
Cette partie doit également être introduit dans "Travail  au pied du lit" (cf. infra).</t>
  </si>
  <si>
    <t>Nombre</t>
  </si>
  <si>
    <t>Déscription courte, p.ex. Pressions, thermodilution, CO expirés, PiCCO</t>
  </si>
  <si>
    <t xml:space="preserve">Texte libre </t>
  </si>
  <si>
    <t>Documents pour l'envoi par poste</t>
  </si>
  <si>
    <t>Demande Pdf</t>
  </si>
  <si>
    <t xml:space="preserve">Auto-déclaration </t>
  </si>
  <si>
    <t xml:space="preserve">Règlement d'organisation </t>
  </si>
  <si>
    <t xml:space="preserve">Plan architectural </t>
  </si>
  <si>
    <t xml:space="preserve">Document confirmant les normes </t>
  </si>
  <si>
    <t xml:space="preserve">Mandat de prestation écrit du conseil d'administration </t>
  </si>
  <si>
    <t>Plans de garde médecins</t>
  </si>
  <si>
    <t>Plans de garde infirmiers</t>
  </si>
  <si>
    <t xml:space="preserve">Documents supplémentaires </t>
  </si>
  <si>
    <t>Documents à fournir pour la demande</t>
  </si>
  <si>
    <t>Date document (uniquement si différent de la date de la demande)</t>
  </si>
  <si>
    <t>Datum Dokument 
(nur falls anders als Antragsdatum)</t>
  </si>
  <si>
    <t>Lettre de l'USI</t>
  </si>
  <si>
    <t>Brief der IPS</t>
  </si>
  <si>
    <t>Demande de l'USI 
Excel (ce fichier, en format xlsx)</t>
  </si>
  <si>
    <t>xlsx</t>
  </si>
  <si>
    <t>MDSi (dernière année)</t>
  </si>
  <si>
    <t>MDSi (avant-dernière année)</t>
  </si>
  <si>
    <t>Mandat de prestation écrit autorité de santé publique cantonales</t>
  </si>
  <si>
    <t>Diplôme médecin responsable (Spécialiste FMH)</t>
  </si>
  <si>
    <t>Facharztdiplom Aerztliche Leitung</t>
  </si>
  <si>
    <t>Diplôme responsable soins</t>
  </si>
  <si>
    <t>Documents des experts pour la visite</t>
  </si>
  <si>
    <t>Visite Excel</t>
  </si>
  <si>
    <t>Visite, rapport complet</t>
  </si>
  <si>
    <t>Visite, rapport court</t>
  </si>
  <si>
    <t>Format pour version électronique</t>
  </si>
  <si>
    <t>Lettre</t>
  </si>
  <si>
    <t>DEMANDE-Excel</t>
  </si>
  <si>
    <t>Demande_IV_CertificationUniteSoinsIntensif</t>
  </si>
  <si>
    <t>Demande_VII_Autoevaluation_CriteresQualite</t>
  </si>
  <si>
    <t xml:space="preserve">PlanArchitectural </t>
  </si>
  <si>
    <t>DiplomeResponsableMedecin</t>
  </si>
  <si>
    <t>DiplomeResponsableInfirmier</t>
  </si>
  <si>
    <t>Bitte diese Dateiname benutzen (copy hier -paste direkt in Dateiname).
Vorher muss der Antrag (Blatt 1) vollständig ausgefüllt werden.</t>
  </si>
  <si>
    <t>Veuillez utiliser ce nom de fichier (copier ici, puis coller dans nom de fichier)
La demande (onglet 1) doit être rempli complètement pour la génération du nom.</t>
  </si>
  <si>
    <t xml:space="preserve">ReglementOrganisation </t>
  </si>
  <si>
    <t xml:space="preserve">ConfirmationNormes </t>
  </si>
  <si>
    <t>MandatSantePublique</t>
  </si>
  <si>
    <t xml:space="preserve">MandatConseilAdministration </t>
  </si>
  <si>
    <t>PlansGardeMedecins</t>
  </si>
  <si>
    <t>PlansGardeInfirmiers</t>
  </si>
  <si>
    <t>Alle</t>
  </si>
  <si>
    <t>diverse Korrekturen,
Übersetzung überprüft</t>
  </si>
  <si>
    <t>Masqué</t>
  </si>
  <si>
    <t>espace trè</t>
  </si>
  <si>
    <t>depuis (année):</t>
  </si>
  <si>
    <t>Médecins en formation de médecine intensive (EPT)</t>
  </si>
  <si>
    <t>Assistants en soins et santé communautaire CFC (ASSC)</t>
  </si>
  <si>
    <t>Zusätzliches Personal (FTE)</t>
  </si>
  <si>
    <t>Personnel auxilaire (EPT)</t>
  </si>
  <si>
    <t>FAGE max année précédente:</t>
  </si>
  <si>
    <t>Physiotherapeuten</t>
  </si>
  <si>
    <t>Physiothérapeutes</t>
  </si>
  <si>
    <t>Total, Paramedizinisches Personal (FTE)</t>
  </si>
  <si>
    <t>Total, personnel paramédical (EPT)</t>
  </si>
  <si>
    <r>
      <t xml:space="preserve">Zusammenfassung: Spalte L ausfüllen  </t>
    </r>
    <r>
      <rPr>
        <sz val="10"/>
        <rFont val="Calibri"/>
        <family val="2"/>
      </rPr>
      <t>→</t>
    </r>
  </si>
  <si>
    <t>Résumé: remplir colonne L   →</t>
  </si>
  <si>
    <t>Kommentare werden automatisch aus den oberen blauen Felder übernommen.</t>
  </si>
  <si>
    <r>
      <t xml:space="preserve">UNVOLLSTÄNDIG, bitte Spalte L ausfüllen </t>
    </r>
    <r>
      <rPr>
        <sz val="10"/>
        <rFont val="Calibri"/>
        <family val="2"/>
      </rPr>
      <t>→</t>
    </r>
  </si>
  <si>
    <r>
      <t xml:space="preserve">INCOMPLTE, remplir colonne L svp </t>
    </r>
    <r>
      <rPr>
        <sz val="10"/>
        <color theme="1"/>
        <rFont val="Calibri"/>
        <family val="2"/>
      </rPr>
      <t>→</t>
    </r>
  </si>
  <si>
    <t>Bitte hier drunter  abschliessende Kommentare eingeben. Erscheinen in der Zusammenfassung.</t>
  </si>
  <si>
    <t>Notez ici dessous les remarques conclusives. Elles figureront dans le résumé.</t>
  </si>
  <si>
    <t>Die Stationsleitung wird gebeten, alle blauen Felder (Spalte A, B) auszufüllen, und wenn erwünscht Bemerkungen (Spalte F) zu machen.</t>
  </si>
  <si>
    <t>Les responsables d'unité sont priés de remplir les cellules bleues (Colonnes A, B), et de rajouter -si souhaité- des remarques (colonne F)</t>
  </si>
  <si>
    <t>Das Feld hier drüber ist das letzte auszufüllende. 
Wenn alles ausgefüllt ist kann der pdf-Bericht generiert werden.</t>
  </si>
  <si>
    <t>Le champ ci-dessus est le dernier à remplir.
Une fois tout complété, vous pouvez générer le rapport en pdf.</t>
  </si>
  <si>
    <t>PDF: imprimer en choisissant imprimante "pdf", donner le nom ci-dessous au fichier (peut être copier depuis l'onglet 1b).</t>
  </si>
  <si>
    <t>Imprimer la demande + enregistrer PDF</t>
  </si>
  <si>
    <t>1</t>
  </si>
  <si>
    <t>Bemerkungen Selbstdeklaration
Werden automatisch hierhin übertragen.</t>
  </si>
  <si>
    <t>Remarques de l'autodeclaration
Seront introduites automatiquement.</t>
  </si>
  <si>
    <t>Remarques Experts CC.
Peuvent être introduites à côté de chaque critère (si souhaité)</t>
  </si>
  <si>
    <t>Bemerkungen - Experten ZK
Können neben jedem Kriterium eingetragen werden (falls erwünscht).</t>
  </si>
  <si>
    <t>Qui?</t>
  </si>
  <si>
    <t>Remarques</t>
  </si>
  <si>
    <t>Wer?</t>
  </si>
  <si>
    <t>Bemerkungen</t>
  </si>
  <si>
    <t>Name Datenblatt Excel</t>
  </si>
  <si>
    <t>Nom Feuille Excel</t>
  </si>
  <si>
    <t>Bitte diese Excel-Datei nach folgender Beschreibung ausfüllen und  die verschiedenen Etappen nacheinander durchgehen.</t>
  </si>
  <si>
    <t>Veuillez remplir ce fichier excel selon la description suivante en complétant les differentes étapes dans l'ordre indiqué.</t>
  </si>
  <si>
    <t>Verantwortliche IS</t>
  </si>
  <si>
    <t>Responsable USI</t>
  </si>
  <si>
    <t>IMK</t>
  </si>
  <si>
    <t>Experte ZK</t>
  </si>
  <si>
    <t>Expert CC</t>
  </si>
  <si>
    <t>Kontrolle aller Dateien des Antrags</t>
  </si>
  <si>
    <t>Korrektur der Dateinamen falls nötig</t>
  </si>
  <si>
    <t>Correction des noms de fichier si nécessaire</t>
  </si>
  <si>
    <t>Contrôle de tous les fichiers de la demande</t>
  </si>
  <si>
    <t>Rajouter les données déjà connue pour la visite, notamment l'histoire avant.</t>
  </si>
  <si>
    <t>Ausfüllen der bereits bekannten Information, v.a. Vorgeschichte</t>
  </si>
  <si>
    <t>4 Visitation</t>
  </si>
  <si>
    <t>Prozedere für die Visite (betrifft nur die Experten ZK  und IMK)</t>
  </si>
  <si>
    <t>Processus pour la visite (ne concerne que les Experts CC / IMK)</t>
  </si>
  <si>
    <t>Vor Verteilen der Dokument</t>
  </si>
  <si>
    <t>Avant distribution des documents</t>
  </si>
  <si>
    <t>Avant la visite de l'USI</t>
  </si>
  <si>
    <t>Vor der Visitation de IS</t>
  </si>
  <si>
    <t>Nach der Visitation de IS</t>
  </si>
  <si>
    <t>Après la visite de l'USI</t>
  </si>
  <si>
    <t>Durchlesen der Dokumente, allgemeine Kontrolle, Korrektur falls nötig</t>
  </si>
  <si>
    <t>Lecture des documents, contrôle général et correction si nécessaire</t>
  </si>
  <si>
    <t>Vervollständigen der Information, die vor der Visitation bekannt ist (Name Experten, Datum Visitation, etc)</t>
  </si>
  <si>
    <t>Compléter données connues avant la visite (nom experts, date, etc)</t>
  </si>
  <si>
    <t>Impression des pages pour la visite (A3, 1 exemplaire par expert)</t>
  </si>
  <si>
    <t>Ausdrucken der Visitations-Blätter (A3, 1 Exemplar pro Experte)</t>
  </si>
  <si>
    <t>Pendant la visite</t>
  </si>
  <si>
    <t>Remplissage manuel sur papier des criètres, remarques, et autres détails</t>
  </si>
  <si>
    <t>Ausfüllen per Hand aller Kriterien, Kommentare und andere Details</t>
  </si>
  <si>
    <t>Ausfüllen aller während der Visite erhobenen Daten:</t>
  </si>
  <si>
    <t>Introduction des données relevées à la visite:</t>
  </si>
  <si>
    <t>Datum, Zeit, Name der Experten u. Teilnehmer.</t>
  </si>
  <si>
    <t>Date, heure, noms des experts et participants.</t>
  </si>
  <si>
    <t>Spalte (Tabelle)</t>
  </si>
  <si>
    <t>Colonne (tableau)</t>
  </si>
  <si>
    <t>C-G</t>
  </si>
  <si>
    <t>C-D,  E</t>
  </si>
  <si>
    <t>Critères spécifiques: points et commentaires</t>
  </si>
  <si>
    <t>Spezifische Kriterien: Punktevergabe und Kommentare</t>
  </si>
  <si>
    <t>Zusammenfassung pro Kapitel, Vorschlag für Zertifizierung, abschliessende Kommentare</t>
  </si>
  <si>
    <t>Résume par chapitre, proposition pour la certification, remarques conclusives</t>
  </si>
  <si>
    <t>L</t>
  </si>
  <si>
    <t>Die abschliessenden Bemerkungen werden nur in die blauen Feldern dieser Spalte eingetragen. Werden dann automatisch in den Abschlussbericht übernommen.</t>
  </si>
  <si>
    <t>Les commentaires finaux se font exclusivement dans les chambs bleus de cette colonne.
Seront introduits dans le rapport final.</t>
  </si>
  <si>
    <t>"</t>
  </si>
  <si>
    <t>Création pdf rapport complet</t>
  </si>
  <si>
    <t>5 Report</t>
  </si>
  <si>
    <t>Generierung detaillierten pdf-Report</t>
  </si>
  <si>
    <t>Generierung kurzer pdf-Report</t>
  </si>
  <si>
    <t>Création pdf rapport court</t>
  </si>
  <si>
    <t>Validation par tous les experts (mail)</t>
  </si>
  <si>
    <t>Validierung von allen Experten</t>
  </si>
  <si>
    <t>M-P</t>
  </si>
  <si>
    <t>Kommentare pro Experte können rechts eingegeben werden</t>
  </si>
  <si>
    <t>Commentaires par expert peuvent être introduit à droite.</t>
  </si>
  <si>
    <t>Versendung der Dateien an Präsident ZK u. IMK</t>
  </si>
  <si>
    <t>Envoi fichiers par mail à IMK + président CC</t>
  </si>
  <si>
    <t>1 Fichier Excel, 2 pdfs</t>
  </si>
  <si>
    <t>1 Excel-Datei, 2 pdfs</t>
  </si>
  <si>
    <t>Während der Visite</t>
  </si>
  <si>
    <t>A remplir par l'expert après la visite.</t>
  </si>
  <si>
    <t>Wird von Experten nach der Visite ausgefüllt.</t>
  </si>
  <si>
    <t>Visitation: Kriterien &amp; Bericht</t>
  </si>
  <si>
    <t>Visite: Critères &amp; rapport</t>
  </si>
  <si>
    <r>
      <rPr>
        <b/>
        <sz val="10"/>
        <color theme="1"/>
        <rFont val="Calibri"/>
        <family val="2"/>
      </rPr>
      <t xml:space="preserve">  ←</t>
    </r>
    <r>
      <rPr>
        <b/>
        <sz val="10"/>
        <color theme="1"/>
        <rFont val="Calibri"/>
        <family val="2"/>
        <scheme val="minor"/>
      </rPr>
      <t xml:space="preserve">  Bitte hier Sprache wählen
       Choisissez la langue ici</t>
    </r>
  </si>
  <si>
    <r>
      <rPr>
        <sz val="10"/>
        <rFont val="Calibri"/>
        <family val="2"/>
      </rPr>
      <t xml:space="preserve">↑
</t>
    </r>
    <r>
      <rPr>
        <sz val="10"/>
        <rFont val="Arial"/>
        <family val="2"/>
      </rPr>
      <t>Zum Ablaufen dieser Spalte per ENTER bitte Zelle oben anklicken.</t>
    </r>
  </si>
  <si>
    <t>↑
Pour parcourir cette colonne via ENTER commencer ici-dessus.</t>
  </si>
  <si>
    <t>Résumé (par chapitre) &amp; Conclusion. 
Les champs bleus apparaissent dans le rapport final.</t>
  </si>
  <si>
    <t>Zusammenfassung (pro Kapitel) &amp; Konklusion
Blaue Felder erscheinen im Abschlussbericht.</t>
  </si>
  <si>
    <t>Rapport de visite Résumé: champs automatiques (pour generer pdf et imprimer)</t>
  </si>
  <si>
    <t>Wann?</t>
  </si>
  <si>
    <t>Quand?</t>
  </si>
  <si>
    <t>Descriptif
(p.ex. Marque, modèle ou type)</t>
  </si>
  <si>
    <t>Beschreibung
(z.B. Marke, Modell oder Typ)</t>
  </si>
  <si>
    <t>Die auszufüllenden Felder können der Reihe nach per TABULATOR (= nach rechts) oder ENTER ( nach unten) ausgesucht werden.</t>
  </si>
  <si>
    <t xml:space="preserve">Les champs peuvent être choisis dans l'ordre avec TABULATION (= d'abord vers la droite) ou ENTER (d'abord vers le bas). </t>
  </si>
  <si>
    <t>Au début, veuillez cliquer sur le champ bleu à gauche, puis continuez par TABULATEUR.</t>
  </si>
  <si>
    <t>Zum Anfang, bitte das blaue Feld links anklicken, dann per TABULATOR weiter.</t>
  </si>
  <si>
    <t>Für Zeilensprung innerhalb einer Zelle (Textfelder): ALT+ENTER</t>
  </si>
  <si>
    <t>Pour saut de ligne dans un champ (text libre): ALT+ENTER</t>
  </si>
  <si>
    <t>Bitte Zahl kontrollieren, und ggbf. Angaben oben korrigieren</t>
  </si>
  <si>
    <t>Veuillez contrôler le nombre, et si nécessaire corriger les chiffres ci-dessus.</t>
  </si>
  <si>
    <t xml:space="preserve">Nombre pourvus (réel) et accordés (prévu) (Ept) </t>
  </si>
  <si>
    <t xml:space="preserve">Remplir tous les services disponibles et rélévants pour  l'USI (séparés par virgule).
 p.e. chirurgie générale, chir. Viscérale, chir. Cardiaque, chir. Thoracique, urologie, médecine interne, cardiologie, gynécologie etc. </t>
  </si>
  <si>
    <t>d172</t>
  </si>
  <si>
    <t>format</t>
  </si>
  <si>
    <t>anpassung</t>
  </si>
  <si>
    <t>t55 (f55)</t>
  </si>
  <si>
    <t>formule</t>
  </si>
  <si>
    <t>korrektur</t>
  </si>
  <si>
    <t>f64-68</t>
  </si>
  <si>
    <t>Traduction F-D</t>
  </si>
  <si>
    <t>f70</t>
  </si>
  <si>
    <t xml:space="preserve">korrektur: brutto / n beantragte Betten </t>
  </si>
  <si>
    <t>RECERTIFICATION</t>
  </si>
  <si>
    <t>Datum (dd.mm.yy):</t>
  </si>
  <si>
    <t>Date (dd.mm.yy):</t>
  </si>
  <si>
    <t>Zum Anfang, bitte im blauen Feld links das Datum eingeben, dann per TABULATOR weiter.</t>
  </si>
  <si>
    <t>Au début, veuillez remplir la date dans le champ bleu à gauche, puis continuez par TABULATEUR.</t>
  </si>
  <si>
    <t>Datum Selbstdeklaration</t>
  </si>
  <si>
    <t>Date autodéclaration</t>
  </si>
  <si>
    <t>Die Experten empfehlen, die Station mit den genannten Auflagen zu zertifizieren.</t>
  </si>
  <si>
    <t>Die Experten empfehlen, die Station ohne Auflagen zu zertifizieren.</t>
  </si>
  <si>
    <t xml:space="preserve">Bettenzahl höher als angefragt. Anzahl für Zertifikat: </t>
  </si>
  <si>
    <t xml:space="preserve">Nombre de lits plus haut que demandé. Lits pour le certificat: </t>
  </si>
  <si>
    <t>Dokument_XXX</t>
  </si>
  <si>
    <t>Document_XXX</t>
  </si>
  <si>
    <t>ALLE</t>
  </si>
  <si>
    <t>Diverse Korrekturen, nach Sitzung und mails Anna, Marcus, Hans</t>
  </si>
  <si>
    <t>Angaben zur Organisation des ärztlichen Dienstes</t>
  </si>
  <si>
    <t>Ärztliche Leitung</t>
  </si>
  <si>
    <t>Ärztliche Leitung, Stellvertreter</t>
  </si>
  <si>
    <t>MDSi-Strukturdaten</t>
  </si>
  <si>
    <t>1, 3 EPT</t>
  </si>
  <si>
    <t>Responsable infirmier Soins (cadre)</t>
  </si>
  <si>
    <t>Anstellungsgrad IP-für Führungsaufgaben / Management (%)</t>
  </si>
  <si>
    <t>Taux d'occupation pour la fonction cadre SI  (%)</t>
  </si>
  <si>
    <t>Anstellungsgrad IP- für Pflege am Patientenbett (%)</t>
  </si>
  <si>
    <t>Taux d'occupation dédié au travail au pied du lit du patient SI (%)</t>
  </si>
  <si>
    <t>Experte Intensivpflege NDS HF</t>
  </si>
  <si>
    <t>Expert Soins Intensive EPD ES</t>
  </si>
  <si>
    <t>Dotation en soins</t>
  </si>
  <si>
    <t>Pflegestellen, nicht direkt am Patientenbett tätig (FTE)</t>
  </si>
  <si>
    <t>Personnel soignant, hors clinique (EPT)</t>
  </si>
  <si>
    <t>Total, nicht am Patientenbett (FTE)</t>
  </si>
  <si>
    <t>Dotation totale soignante hors clinique (ETP)</t>
  </si>
  <si>
    <t>Pflegestellen für die direkte Tätigkeit am Patientenbett (FTE)</t>
  </si>
  <si>
    <t>Dotation totale soignante en activité clinique (EPT)</t>
  </si>
  <si>
    <t xml:space="preserve">Dipl. Expertin/Experte Intensivpflege NDS HF </t>
  </si>
  <si>
    <t xml:space="preserve">Expert(e) diplômé(e) EPD ES en soins intensifs </t>
  </si>
  <si>
    <t>Infirmier / infirmière diplômé(e)  avec spécialisation en SI à l’étranger avec équivalence SSMI</t>
  </si>
  <si>
    <t xml:space="preserve">Infirmier / infirmière diplômé(e) avec spécialisation en SI à l’étranger sans équivalence SSMI </t>
  </si>
  <si>
    <t xml:space="preserve">Infirmier / infirmière diplômé(e) en formation (Soins intensifs EPD ES) </t>
  </si>
  <si>
    <t xml:space="preserve">Infirmier / infirmière diplômé(e) (Diplôme suisse ES/HES ou diplôme étranger avec reconnaissance CH) </t>
  </si>
  <si>
    <t xml:space="preserve">Pflegehilfspersonal (Pflege-Assistenten, Pflegehilfen, usw.) </t>
  </si>
  <si>
    <t xml:space="preserve">Aide en soins et accompagnement (ASA) / aide soignante </t>
  </si>
  <si>
    <t>Administratives Personal (Sekretariat für Ärzte und Pflege)</t>
  </si>
  <si>
    <t xml:space="preserve">Personnel administratif (secrétariat, réception pour les médecins et les soins) </t>
  </si>
  <si>
    <t>dont pour les soins</t>
  </si>
  <si>
    <t xml:space="preserve">Infirmier/infirmière clinicien(ne),  recherche </t>
  </si>
  <si>
    <t>Infirmier / infirmière formateur</t>
  </si>
  <si>
    <t>Dipl. Pflegefachpersonal mit Schweizer Zusatzausbildung Experte in Intensivpflege</t>
  </si>
  <si>
    <t xml:space="preserve">Personnel soignant diplômé avec formation suisse Expert en Soins Intensifs </t>
  </si>
  <si>
    <t xml:space="preserve">Plan d’études cadre pour les études postdiplômes des écoles supérieures  "soins d’anesthésie" / "soins intensifs" / 
"soins d’urgence"  État le 05.04.2012  https://www.odasante.ch/fileadmin/odasante.ch/docs/Hoehere_Berufsbildung_und_Hochschulen/PEC_soins_anesthesie_intensifs_urgence_OdASante.pdf7.1.2 Équivalence du titre de spécialisation en soins intensifs 
Les titulaires du certificat «infirmière diplômée, soins intensifs / infirmier diplômé, soins intensifs», délivré par l’Association suisse des infirmières et infirmiers (ASI) conformément au document «Règlement et objectifs/domaines de formation, formation post-diplôme en soins intensifs» (dernière révision datée du 1er janvier 1991), sont autorisés à porter le nouveau titre «Experte en soins intensifs diplômée EPD ES / Expert en soins intensifs diplômé EPD ES».
Plan d’études cadre pour les études postdiplômes des écoles supérieures  "soins d’anesthésie" / "soins intensifs" / 
"soins d’urgence"  État le 05.04.2012  https://www.odasante.ch/fileadmin/odasante.ch/docs/Hoehere_Berufsbildung_und_Hochschulen/PEC_soins_anesthesie_intensifs_urgence_OdASante.pdf7.1.2 Équivalence du titre de spécialisation en soins intensifs 
Les titulaires du certificat «infirmière diplômée, soins intensifs / infirmier diplômé, soins intensifs», délivré par l’Association suisse des infirmières et infirmiers (ASI) conformément au document «Règlement et objectifs/domaines de formation, formation post-diplôme en soins intensifs» (dernière révision datée du 1er janvier 1991), sont autorisés à porter le nouveau titre «Experte en soins intensifs diplômée EPD ES / Expert en soins intensifs diplômé EPD ES».
</t>
  </si>
  <si>
    <t>Dipl. Pflegefachpersonal mit Zusatzausbildung IP-Ausland, mit SGI-Äquivalenz</t>
  </si>
  <si>
    <t xml:space="preserve">Dipl. Pflegefachpersonal mit Zusatzausbildung IP-Ausland, ohne SGI-Äquivalenz </t>
  </si>
  <si>
    <t>Dipl. Pflegefachpersonal in WB (NDS HF IP)</t>
  </si>
  <si>
    <t>Dipl. Pflegefachpersonal (Grundausbildung Diplom HF/FH CH oder Ausland mit CH Registrierung)</t>
  </si>
  <si>
    <t>Dipl. Pflegefachpersonal ohne Zusatzausbildung in Intensivpflege</t>
  </si>
  <si>
    <t>Personnel diplômé sans formation en soins  intensifs</t>
  </si>
  <si>
    <t>Summe, mit Korrektur für Weiterbildung und max. FAGE-Anteil s.o.</t>
  </si>
  <si>
    <t>Somme, correction pour formation et ASSC cf. supra</t>
  </si>
  <si>
    <t xml:space="preserve">Ausnahmsweise kann der Vorstand des SGI eine IS anerkennen, deren Leiter nicht Träger des Diploms NDS HF ist, der jedoch über eine Zusatzausbildung IP-Ausland, mit SGI-Äquivalenz verfügt. </t>
  </si>
  <si>
    <t xml:space="preserve">À titre exceptionnel, le comité de la SSMI peut reconnaitre une unité de soins dont le responsable n’est pas porteur du diplôme EPD ES, mais dispose toutefois d’une spécialisation en SI à l’étranger avec équivalence SSMI </t>
  </si>
  <si>
    <t>Stand zum Zeitpunkt des Antrags
(nur falls abweichend vom letzten Kalenderjahr)</t>
  </si>
  <si>
    <t>Etat au moment de la demande
(seulement si différent de la dernière année écoulée)</t>
  </si>
  <si>
    <t>Zusätzlich anzurechnende Zeit pro Nachtschicht (Format hh:mm)</t>
  </si>
  <si>
    <t>Temps de compensation par horaire de nuit (format hh:mm)</t>
  </si>
  <si>
    <t>Dotation accordée</t>
  </si>
  <si>
    <t>EPT dédiés à la formation continue du personnel soignant et pour  la formation pratique des infirmiers en formation EPD ES soins intensifs (lieu de formation pratique).
L’ETP dédié à la formation théorique auprès d’un prestataire de formation ne doit pas être inclus ici.</t>
  </si>
  <si>
    <t>In obigen Zahlen nicht einbegriffenes Personal</t>
  </si>
  <si>
    <t>Personnel pas inclus dans le nombre indiqués en haut</t>
  </si>
  <si>
    <t>davon für  Pflege</t>
  </si>
  <si>
    <t>jj.mm.aaaa</t>
  </si>
  <si>
    <t>Weiterbildung: die hier angegebenen Stellen zählen zu 75% in der Summe "Total am Bett". Absoluter Wert s. rechts</t>
  </si>
  <si>
    <t>Formation: la dotation indiquée ici comptera à 75 % dans le total (au pied du lit ou en clinique). Valeur absolue à droite</t>
  </si>
  <si>
    <t>FAGE: von den hier angegebenen Stellen werden höchstens 5% des Gesamtbedarfs an Pflegestellen zur Summe  "Total am Bett" angerechnet. Absoluter Wert s. rechts</t>
  </si>
  <si>
    <t>ASSC: de la dotation indiquée comptera au maximum 5 % des besoins globaux en personnel soignant dans le "Total au pied du lit". Valeur absolue à droite</t>
  </si>
  <si>
    <t>Anpassung an neue Form, Namen.... Einige Formeln hinzugefügt</t>
  </si>
  <si>
    <t>f132</t>
  </si>
  <si>
    <t>Format korrigiert</t>
  </si>
  <si>
    <t>Gültigkeitsdauer, aktuelles Zertifikat, bis</t>
  </si>
  <si>
    <t>Gültigkeitsdauer, aktuelles Zertifikat, von</t>
  </si>
  <si>
    <t>Durée de validité, certificat actuel, du</t>
  </si>
  <si>
    <t>Durée de validité, certificat actuel, au</t>
  </si>
  <si>
    <t>Beginn Gültigkeit, Datum nach SGI-Zertifkat, dd.mm.yyyy</t>
  </si>
  <si>
    <t>Ende Gültigkeit, Datum nach SGI-Zertifkat, dd.mm.yyyy</t>
  </si>
  <si>
    <t>Début validité, date selon certificat SSMI, jj.mm.aaaa</t>
  </si>
  <si>
    <t>Fin validité, date selon certificat SSMI, jj.mm.aaaa</t>
  </si>
  <si>
    <t>Date de la dernière certification /visite</t>
  </si>
  <si>
    <t>Format Zahlen</t>
  </si>
  <si>
    <t>Akzeptiert jetzt nur noch gültige Zahlen in allen Zahlenfeldern (keine anderen Zeichen)</t>
  </si>
  <si>
    <t>Zertifikat Gültigkeit</t>
  </si>
  <si>
    <t>Einfügen Datum Beginn-Ende (2 Reihen), anstatt Gültigkeit in Jahren</t>
  </si>
  <si>
    <t>Ablauf aktuelles Zertifikat</t>
  </si>
  <si>
    <t>Fin de validité, certificat actuel</t>
  </si>
  <si>
    <t>Falls nur Aktenstudium ohne Visite: "Ja" wählen</t>
  </si>
  <si>
    <t>Si étude de dossier sans visite choisir "Oui"</t>
  </si>
  <si>
    <t>Rapport sans visite?</t>
  </si>
  <si>
    <t>Bericht ohne Visitation ?</t>
  </si>
  <si>
    <t>Etude du dossier sans visite de l'USI</t>
  </si>
  <si>
    <t xml:space="preserve"> -Detaillierter Bericht und Qualitätskriterien- </t>
  </si>
  <si>
    <t xml:space="preserve"> -Rapport détaillé et critères de qualité- </t>
  </si>
  <si>
    <t xml:space="preserve">Bericht vom: </t>
  </si>
  <si>
    <t xml:space="preserve">Rapport du: </t>
  </si>
  <si>
    <t>Ort Bericht (z.B. Stadt des Leaders)</t>
  </si>
  <si>
    <t>Bericht OHNE Visitation: bitte leerlassen</t>
  </si>
  <si>
    <t>Rapport SANS Visite: laisser vide svp</t>
  </si>
  <si>
    <t>hh:mm</t>
  </si>
  <si>
    <t>Das Datum des Berichts wird am Ende eingegeben.</t>
  </si>
  <si>
    <t>La date du rapport est intrdouite à la fin.</t>
  </si>
  <si>
    <t xml:space="preserve">, den </t>
  </si>
  <si>
    <t xml:space="preserve"> le </t>
  </si>
  <si>
    <t xml:space="preserve">Ce rapport est basé sur l'étude du dossier et la visite de l'USI du </t>
  </si>
  <si>
    <t xml:space="preserve">Dieser Bericht basiert auf dem Studium des Dossiers und der Visitation der IS vom </t>
  </si>
  <si>
    <t>Dieser Bericht basiert ausschliesslich auf dem Studium des Dossiers, es wurde keine Visitation der IS durchgeführt.</t>
  </si>
  <si>
    <t xml:space="preserve">Ce rapport est basé uniquement sur l'étude du dossier, une visite de l'USI n'a pas été effectuée. </t>
  </si>
  <si>
    <t>Leitung Pflege (Führungsverantwortung / Management)</t>
  </si>
  <si>
    <t>Datum Visitation</t>
  </si>
  <si>
    <t>Datum Abschluss des Berichts</t>
  </si>
  <si>
    <t>Date établissement du rapport</t>
  </si>
  <si>
    <t>Lieu du rapport (p.ex. ville du lead)</t>
  </si>
  <si>
    <t>Aktenstudium des Dossiers ohne Visitation der IS</t>
  </si>
  <si>
    <t>Bericht: Aktenstudium des Dossiers und Visitation der IS</t>
  </si>
  <si>
    <t>Bericht: Aktenstudium des Dossiers (ohne Visitation der IS)</t>
  </si>
  <si>
    <t>Raison de la demande de certification</t>
  </si>
  <si>
    <t>Bericht NUR Aktenstudium</t>
  </si>
  <si>
    <t>Bericht NUR Aktenstudium (mit sehr vielen nötigen Anpassungen)</t>
  </si>
  <si>
    <t>Wahl: mit/ohne Visite</t>
  </si>
  <si>
    <t>W126+</t>
  </si>
  <si>
    <t>Formel</t>
  </si>
  <si>
    <t>Korrektur Formel wenn nur teilweise von Station ausgefüllt</t>
  </si>
  <si>
    <t>b36</t>
  </si>
  <si>
    <t>Formel falsch</t>
  </si>
  <si>
    <t>korrigiert, damit Anzeige korrekt</t>
  </si>
  <si>
    <t>m-n-o-p</t>
  </si>
  <si>
    <t>Format</t>
  </si>
  <si>
    <t>Kommentare besser lesbar</t>
  </si>
  <si>
    <t xml:space="preserve">Pour changer en Français: cf. onglet "4 Visitation"
</t>
  </si>
  <si>
    <t xml:space="preserve">Zur Änderung auf Deutsch: s. Datenblatt "4 Visitation"
</t>
  </si>
  <si>
    <t>Sprache</t>
  </si>
  <si>
    <t>Automatisch gleich wie 4 Visitation</t>
  </si>
  <si>
    <t>A1/2</t>
  </si>
  <si>
    <t>Total Schichten dividert durch 3</t>
  </si>
  <si>
    <t>Pflegetage gemäss MDSi</t>
  </si>
  <si>
    <t>≥1300</t>
  </si>
  <si>
    <t>Journée de soins selon MDSi</t>
  </si>
  <si>
    <t>Total plages horaires divisé par 3</t>
  </si>
  <si>
    <t>Total plages horaires / (3 hoaires x n lits x 365 jours)</t>
  </si>
  <si>
    <t>Hinzugefügt</t>
  </si>
  <si>
    <t>Pflegetage, Mindestwert</t>
  </si>
  <si>
    <t>e59</t>
  </si>
  <si>
    <t>Korrektur frz. Version</t>
  </si>
  <si>
    <t>Linie 58</t>
  </si>
  <si>
    <t>Kriterien</t>
  </si>
  <si>
    <t>s27</t>
  </si>
  <si>
    <t>Punkt 1.1.3</t>
  </si>
  <si>
    <t>Tous les documents du dossier doivent être disponibles soit sous forme éléctonique, soit sous forme d'un dossier physique.</t>
  </si>
  <si>
    <t>Fehler in frz. Text korrigiert (text war identisch wie vorherige Zeile, bisher von keinem bemerkt….)</t>
  </si>
  <si>
    <t>Rapport: Etude du dossier et visite de l'USI</t>
  </si>
  <si>
    <t>Rapport: Etude du dossier (sans visite de l'USI)</t>
  </si>
  <si>
    <t>↑</t>
  </si>
  <si>
    <t>m-p3</t>
  </si>
  <si>
    <t>Zellen zum Beginn mit Pfeil, für Experten-Kommentare</t>
  </si>
  <si>
    <t>15</t>
  </si>
  <si>
    <t>ProgrammeFormation</t>
  </si>
  <si>
    <t>Fortbildungsprogramm</t>
  </si>
  <si>
    <t>1b Dok</t>
  </si>
  <si>
    <t>Linie 21</t>
  </si>
  <si>
    <t>Fortbildungsprogramm (Pflege +/- Ärzte)</t>
  </si>
  <si>
    <t>Programme de formation (Soins +/- médecins)</t>
  </si>
  <si>
    <t>Eingefügt, da obligatorisch bei Antrag nach P. 8.1.1, OK in Sitzung 2018-02</t>
  </si>
  <si>
    <t>Mail</t>
  </si>
  <si>
    <t xml:space="preserve"> @ bitte offizielles Dienstmail angeben</t>
  </si>
  <si>
    <t xml:space="preserve"> @ insérer svp l'adresse mail officielle</t>
  </si>
  <si>
    <t>Linie 80/104</t>
  </si>
  <si>
    <t>Mail Leitung</t>
  </si>
  <si>
    <t>Eingefügt, damit IMK &amp; Delegation nicht lange zu suchen braucht</t>
  </si>
  <si>
    <t>Zusammenfassung DATEN</t>
  </si>
  <si>
    <t>Jahr frei wählbar</t>
  </si>
  <si>
    <t>Vorletztes Jahr</t>
  </si>
  <si>
    <t>Letztes Jahr</t>
  </si>
  <si>
    <t>Anzahl Betten</t>
  </si>
  <si>
    <t>Nombre lits</t>
  </si>
  <si>
    <t>Schichten pro Jahr</t>
  </si>
  <si>
    <t>Stand Datum Antrag mit Aktivität letztes Jahr</t>
  </si>
  <si>
    <t>1A +1B</t>
  </si>
  <si>
    <t>≥</t>
  </si>
  <si>
    <t>≤</t>
  </si>
  <si>
    <t>Struktur</t>
  </si>
  <si>
    <t>Aktivität</t>
  </si>
  <si>
    <t>Pflege am Bett</t>
  </si>
  <si>
    <t>Uhrzeit</t>
  </si>
  <si>
    <t>Eintreffen im Spital</t>
  </si>
  <si>
    <t>Tätigkeit</t>
  </si>
  <si>
    <t>Interne Vorbesprechung innerhalb VT</t>
  </si>
  <si>
    <t>Begrüssung</t>
  </si>
  <si>
    <t>Ziel, Zweck und Ablauf der Visitation
Zertifizierungsprozess (inkl. Fragen)</t>
  </si>
  <si>
    <t>Kurzvorstellung durch die Station (DS)</t>
  </si>
  <si>
    <t>Bearbeitung Zertifizierungsdokument</t>
  </si>
  <si>
    <t>Rundgang über ganze Station</t>
  </si>
  <si>
    <t>Interne Besprechung</t>
  </si>
  <si>
    <t>Abschluss: Klärung offener Fragen
Nachzuliefernde Dokumente
Weiterer Ablauf inkl. Zeitraum</t>
  </si>
  <si>
    <t>Visitationsteam</t>
  </si>
  <si>
    <t>Beliebige Person der Station</t>
  </si>
  <si>
    <t>(x)</t>
  </si>
  <si>
    <t>Ort</t>
  </si>
  <si>
    <t>Eingang Spital</t>
  </si>
  <si>
    <t>Beginn:</t>
  </si>
  <si>
    <t>Ablauf der Visitation geplant am:</t>
  </si>
  <si>
    <t>Ablauf Visitation: Programm</t>
  </si>
  <si>
    <t>Déroulement de la visite: programme</t>
  </si>
  <si>
    <t>Wird von Experten vor der Visite ausgefüllt und an die Stationsleitung geschickt.</t>
  </si>
  <si>
    <t>A remplir par l'expert avant la visite, puis à envoyer aux responsables de l'USI.</t>
  </si>
  <si>
    <t>Lieu</t>
  </si>
  <si>
    <t>Participants</t>
  </si>
  <si>
    <t>Das Programm kann nach Bedarf im Laufe der Visitation angepasst werden.</t>
  </si>
  <si>
    <t>Heure</t>
  </si>
  <si>
    <t>Activité</t>
  </si>
  <si>
    <t>Delegation Station 
(ärztliche und pflegerische Leitung; weitere nach Bedarf)</t>
  </si>
  <si>
    <t>Spitalleitung 
(z.B. Generaldirektion, medizinische Direktion, Direktion Pflege)</t>
  </si>
  <si>
    <t>Ausdruck auf pdf: 1 Seite. Falls Format falsch: bitte Orientierung "Breitkant" wählen, und Skalierung "1 Seite"</t>
  </si>
  <si>
    <t>Insgesamt 5 Seiten. Falls Probleme im Format bitte korrigieren: 
Seitenorientierung "Portrait", Skalierung "Alle Spalten auf eine Seite"</t>
  </si>
  <si>
    <t>5 pages au total. En cas de problème, merci de corriger le format d'impression pdf:
Orientation "Portrait", Echelle: "Toutes les colonnes sur 1 page"</t>
  </si>
  <si>
    <t>Ausdruck auf pdf: Insgesamt 12-13 Seiten. Falls Probleme im Format bitte korrigieren:  Seitenorientierung "Querformat", Skalierung "Alle Spalten auf eine Seite"</t>
  </si>
  <si>
    <t>Zeitbedarf Min. (Richtwerte ZK)</t>
  </si>
  <si>
    <t>Zeitbedarf in Min. (Schätzung durch das Team)</t>
  </si>
  <si>
    <t>4aPlanVisit.</t>
  </si>
  <si>
    <t>Erstellen des Zeitplans der Visitation und Zusendung per Mail an die Leitung</t>
  </si>
  <si>
    <t>Etablissment du porgramme de visite et envoi par mail aux responsables de l'USI</t>
  </si>
  <si>
    <t>6</t>
  </si>
  <si>
    <t>4aPlan Visit.</t>
  </si>
  <si>
    <t>Equipe d'experts</t>
  </si>
  <si>
    <t>Délegation USI
(médecin responsable, cadre infirmier, autres personnes si souhaité)</t>
  </si>
  <si>
    <t>Déroulement de la visite prévue le:</t>
  </si>
  <si>
    <t xml:space="preserve">Le programme peut être adapté en cours de visite selon besoin. </t>
  </si>
  <si>
    <t>Temps en min. (valeurs de base CC)</t>
  </si>
  <si>
    <t>Temps en min. (estimation des experts)</t>
  </si>
  <si>
    <t>Arrivée à l'hôpital</t>
  </si>
  <si>
    <t>Concertation interne des experts</t>
  </si>
  <si>
    <t>Introduction</t>
  </si>
  <si>
    <t>But et déroulement de la visite, procédure de certification (y.c. temps pour questions)</t>
  </si>
  <si>
    <t>Brève présentation de l'USI par les responsables médico-soignants</t>
  </si>
  <si>
    <t>Revue du dossier, et document de certification</t>
  </si>
  <si>
    <t>Visite de l'USI</t>
  </si>
  <si>
    <t>Discussion interne</t>
  </si>
  <si>
    <t>Conclusion: traitement des questions ouvertes, documents manquants à fournir. Explication de la suite avec timing</t>
  </si>
  <si>
    <t>Direction de l'hôpital
(p.ex. direction générale, médical ou de soins)</t>
  </si>
  <si>
    <t>Impression pdf: 1 page. En cas de problème, merci de corriger le format d'impression:
Orientation "Paysage", Echelle: "Ajuster la feuille à 1 page".</t>
  </si>
  <si>
    <t>Entrée de l'hôpital</t>
  </si>
  <si>
    <t>Une personne de l'USI</t>
  </si>
  <si>
    <t>Ausdruck pdf: Insgesamt 3 Seiten. Falls Probleme im Format bitte korrigieren: 
Seitenorientierung "Portrait", Skalierung 50%</t>
  </si>
  <si>
    <t>Impression pdf: 3 pages au total. En cas de problème, merci de corriger le format d'impression:
Orientation "Portrait", Echelle: 50%</t>
  </si>
  <si>
    <t>Pour impression pdf: 12-13 pages au total. En cas de problème, merci de corriger le format d'impression:  Orientation "Paysage", Echelle: "Ajuster toutes les colonnes sur 1 page"</t>
  </si>
  <si>
    <t>Einfügung des Plans für Visite</t>
  </si>
  <si>
    <t>1, 2, 4, 5</t>
  </si>
  <si>
    <t>Einfügung Kommentar zum Druckformat</t>
  </si>
  <si>
    <t xml:space="preserve"> </t>
  </si>
  <si>
    <t>Während oder nach der Visite</t>
  </si>
  <si>
    <t>Pendant ou après la visite</t>
  </si>
  <si>
    <t>4a +PROZEDUR</t>
  </si>
  <si>
    <t>Validierung Plan Visite nach ZK-Sitzung 24.09.18</t>
  </si>
  <si>
    <t>Format am Ende korrigiert (Name Pflegleitung: mehr Platz)</t>
  </si>
  <si>
    <t>b</t>
  </si>
  <si>
    <t>Formel Jahr Renovation angepasst</t>
  </si>
  <si>
    <t>Dernière année</t>
  </si>
  <si>
    <t>Avant-dernière année</t>
  </si>
  <si>
    <t>Année à libre choix</t>
  </si>
  <si>
    <t>Résumé données</t>
  </si>
  <si>
    <t>Ärztl. Leitung</t>
  </si>
  <si>
    <t>Arbeitszeit Pflege</t>
  </si>
  <si>
    <t>Stand</t>
  </si>
  <si>
    <t>% erfüllt</t>
  </si>
  <si>
    <t>Expert EPDES (CH + équivalence obtenue)</t>
  </si>
  <si>
    <t>Infirmier / infirmière diplômé(e) en formation (x0.75)</t>
  </si>
  <si>
    <t>Pflegebedarf nach Schichten</t>
  </si>
  <si>
    <t>Infirmier diplômé, tous les autres</t>
  </si>
  <si>
    <t>Contrôle cellules vides</t>
  </si>
  <si>
    <t>Activité Cat. 1-3, n manquants</t>
  </si>
  <si>
    <t>Temps de travail, n manquants</t>
  </si>
  <si>
    <t>Soins au lit</t>
  </si>
  <si>
    <t>Soins pas au lit</t>
  </si>
  <si>
    <t>Médecins resp.</t>
  </si>
  <si>
    <t>Activité + Temps travail, n manquants</t>
  </si>
  <si>
    <t>Nombre Lit, n manquant</t>
  </si>
  <si>
    <t>Activité + Temps travail + SoinsLit, n manquants</t>
  </si>
  <si>
    <t>Arbeitstunden pro Tag</t>
  </si>
  <si>
    <t>Heures travailléés par jour</t>
  </si>
  <si>
    <t>nicht im MDSi</t>
  </si>
  <si>
    <t>anders im MDSi: Zeit pro Schicht, nicht pro Tag</t>
  </si>
  <si>
    <t>Ärztliche Leitung + Stellvertreter</t>
  </si>
  <si>
    <t>Responsable médical + suppléant</t>
  </si>
  <si>
    <t>anders im MDSi: Chefarzt, alle anderen zusammen;
Cave: MDSi erlaubt nicht genaue Kontrolle des Reglements!</t>
  </si>
  <si>
    <t>Freie Wahl</t>
  </si>
  <si>
    <t>Zahlen änderbar</t>
  </si>
  <si>
    <t>Zahlen werden übernommen, 
können geändert werden</t>
  </si>
  <si>
    <t>Fixe Zahlen, werden vom Antrag übernommen.</t>
  </si>
  <si>
    <t>Für Patientenzimmer gilt die Einteilung in Gruppe 2 gemäss NIN-Normen.</t>
  </si>
  <si>
    <t>Les chambres de malades font partie des locaux groupe 2 conformément aux normes NIBT.</t>
  </si>
  <si>
    <t>R+S 70</t>
  </si>
  <si>
    <t>2.4.3 Normen</t>
  </si>
  <si>
    <t>Adaptiert nach neuen Normen, s. mail Hans Pargger</t>
  </si>
  <si>
    <t>gem. Antrag</t>
  </si>
  <si>
    <t>Übersicht der Station: Aktivität, Personal nach Reglement</t>
  </si>
  <si>
    <t>Etat date de la demande, avec activité dernière année</t>
  </si>
  <si>
    <t>Choix libre</t>
  </si>
  <si>
    <t>Chiffres fixes, reprise depuis la demande</t>
  </si>
  <si>
    <t>Chiffres repris, peuvent être modifiés</t>
  </si>
  <si>
    <t>Chiffres modifiables</t>
  </si>
  <si>
    <t>Structure</t>
  </si>
  <si>
    <t>Temps de travail Soins</t>
  </si>
  <si>
    <t>Pflege NICHT am Bett</t>
  </si>
  <si>
    <t>Soins PAS au lit</t>
  </si>
  <si>
    <t>Résumé de l'unité: activité, personnel selon règlement</t>
  </si>
  <si>
    <t>Besoin en soins selon catégories</t>
  </si>
  <si>
    <t>Fläche pro Planbett</t>
  </si>
  <si>
    <t>Journée en soins selon MDSi</t>
  </si>
  <si>
    <t>Taux d'occupation selon horaires</t>
  </si>
  <si>
    <t>Etat</t>
  </si>
  <si>
    <t>Minimum exigé</t>
  </si>
  <si>
    <t>% rempli</t>
  </si>
  <si>
    <t>Minimum, gefordert</t>
  </si>
  <si>
    <t>Horaires par année</t>
  </si>
  <si>
    <t>Besoin d'heures pour une présence 24h</t>
  </si>
  <si>
    <t>Cet onglet donne un appercu des données de l'USI. Il reprend les données de l'onglet 1 DEMANDE, les autres chiffres peuvent être rajouté si souhaité.</t>
  </si>
  <si>
    <t>Remplir /modifier 
colonnes bleus foncées si souhaité →</t>
  </si>
  <si>
    <t>Stellen (FTE)</t>
  </si>
  <si>
    <t>Postes (EPT)</t>
  </si>
  <si>
    <t>Resp. Médical</t>
  </si>
  <si>
    <t>Calculs &amp; résumé: 
cf. infra, champs roses</t>
  </si>
  <si>
    <t>Experten Intensivpflege  (CH + anerkannte Equivalenzen)</t>
  </si>
  <si>
    <t>Diplomiertes Pflegepersonal, alle Anderen</t>
  </si>
  <si>
    <t>Stellenbedarf, total am Bett (FTE)</t>
  </si>
  <si>
    <t>Besoin en poste, total au lit (EPT)</t>
  </si>
  <si>
    <t>Zusammenfassung Daten</t>
  </si>
  <si>
    <t>Dieses Datenblatt gibt den Überblick der Daten der Station. Es übernimmt die Daten aus "1 ANTRAG", andere Daten können hinzugefügt werden falls erwünscht.</t>
  </si>
  <si>
    <t>Hellblaue Felder: fixe Daten (Übernahme aus Antrag)
Dunkelblaue Felder: Daten können geändert werden (teilweise übernommen aus Antrag, letztem oder nächstem Jahr)</t>
  </si>
  <si>
    <t>Champs bleus clairs: données fixes, reprises depuis la demande
Champs bleus foncés: données peuvent être modifiés (reprises en partie depuis l'année précédente ou suivante)</t>
  </si>
  <si>
    <t>Falls erwünscht, dunkelblaue Felder ausfüllen / ändern →</t>
  </si>
  <si>
    <t>Zusammenfassung &amp; Bilanz 
s. rosa Felder</t>
  </si>
  <si>
    <t>ASSC, postes occupés</t>
  </si>
  <si>
    <t>ASSC, compte pour la dotation minimale</t>
  </si>
  <si>
    <t>FAGE,  besetzte Stellen</t>
  </si>
  <si>
    <t>Pflegende in Ausbildung Intensivpflege (x0.75)</t>
  </si>
  <si>
    <t>ASSC, valeur théorique permise (max. 5% des besoins minimaux)</t>
  </si>
  <si>
    <t>FAGE, theoretisch anrechenbar (max. 5% des Minimalbedarfs)</t>
  </si>
  <si>
    <t>FAGE, für Gesamtbedarf anrechenbar</t>
  </si>
  <si>
    <t/>
  </si>
  <si>
    <t>n</t>
  </si>
  <si>
    <t>EPT</t>
  </si>
  <si>
    <t>Manque du strict minimum</t>
  </si>
  <si>
    <t>Defizit zum strikten Minimum</t>
  </si>
  <si>
    <t>Remarques personelles</t>
  </si>
  <si>
    <t>Persönliche Bemerkungen</t>
  </si>
  <si>
    <t>Selon Demande</t>
  </si>
  <si>
    <t>3 DATA</t>
  </si>
  <si>
    <t>NEU, nach Diskussion Sitzung 06.05.2019</t>
  </si>
  <si>
    <t xml:space="preserve"> 1 + 4</t>
  </si>
  <si>
    <t>Formate korrigiert, ohne inhaltliche Änderungen</t>
  </si>
  <si>
    <t>Zufügen Mail-Adressen der Experten u. Stationsleitung</t>
  </si>
  <si>
    <t>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t>
  </si>
  <si>
    <t>L’USI doit totaliser au moins 1300 journées de soins par année (6 lits, 60 % d'occupation en moyenne) [1 000 journées pour les Unités de soins intensifs (USI) extraordinaires, le taux d'occupation n'est pas pertinent]. Seuls les chiffres prévus dans le MDSi sont applicables (journées de soins = total des horaires effectifs divisé par 3). (Dans le MDSi, les chiffres sont saisis sur la base d'horaires de 8 heures uniquement. La conversion d'horaires de 12 heures en horaires de 8 heures est effectuée selon les prescriptions du règlement du MDSi.)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t>
  </si>
  <si>
    <t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t>
  </si>
  <si>
    <t>La part relative des horaires de soins en catégorie 1 est supérieure à 15 %.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t>
  </si>
  <si>
    <t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t>
  </si>
  <si>
    <t>La part relative des horaires de soins en catégorie 3 est inférieure à 30 %.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t>
  </si>
  <si>
    <t xml:space="preserve">De : Anna Schmidt (IMK) [mailto:anna.schmidt@imk.ch] 
Envoyé : mardi 30 avril 2019 11:23
À : Sridharan Govind Oliver
Objet : IMSGZK Revision Kriterien NIN Normen 
Lieber Govind  
Anbei die revidierten Kriterien (Version 15, je ein Reiter in d und frz). 
Neue Änderung: 
Punkt 2.4.3 NIN Normen (dies ist im neuen Dokument ANTRAG bereits berücksichtigt) 
Bei den Punkten 1.4.3, 1.4.4 und 1.4.5 hatten wir schon lange eine Anpassung gemacht, (siehe Text in rot weiter unten) welche aber nie ins Dokument ANTRAG übertragen wurde. Dies müsste im neuen, zu besprechenden Antrag also noch ergänzt werden.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Merci und Gruss Anna </t>
  </si>
  <si>
    <t>Anpassung Text für Neuzertifizierung</t>
  </si>
  <si>
    <t xml:space="preserve">Nach Entscheid ZK (02/2019): Keine Unterscheidung zwischen Plan- und betriebenen Betten! </t>
  </si>
  <si>
    <t>s.o.: ab 1.5.19</t>
  </si>
  <si>
    <t>VERSION DEFINTIF,  NACH VALIDIERUNG ZK-Sitzung 6.5.2019</t>
  </si>
  <si>
    <t>Bemerkungen intern -temporär</t>
  </si>
  <si>
    <t>/</t>
  </si>
  <si>
    <t>Correction mineures</t>
  </si>
  <si>
    <t>Corrections mineures</t>
  </si>
  <si>
    <t>1b Dok, 3 DATA</t>
  </si>
  <si>
    <t>Angaben zur Organisation des Pflegedienstes (gem. MDSi)</t>
  </si>
  <si>
    <t>Description de l'organisation Soins (selon MDSi)</t>
  </si>
  <si>
    <t>Linie 97</t>
  </si>
  <si>
    <t>"gem. MDSi"</t>
  </si>
  <si>
    <t>Rajout remarques que données doivent correspondre au MDSi, selon discussion ZK-Commission 09.10.2019</t>
  </si>
  <si>
    <t>Durschnitt an Stellen,
letztes abgeschlossenes Kalenderjahr 
(gem. MDSi)</t>
  </si>
  <si>
    <t>Dotation moyenne, 
dernière année calendaire écoulée
(selon MDSi)</t>
  </si>
  <si>
    <t>Bitte darauf achten, dass alle Angaben mit den MDSi-Strukturdaten übereinstimmen.</t>
  </si>
  <si>
    <t>Contrôlez svp que toutes les données soient identiques avec celle du MDSi, données de structure.</t>
  </si>
  <si>
    <t>Durchschnitt des letzten Kalenderjahrs:  identisch mit MDSi-Strukturdaten 
Daten, die sich nicht geändert haben, brauchen nur einmal eingegeben zu werden (Spalte B).</t>
  </si>
  <si>
    <t>Moyennes de la dernière année calendaire: identique au MDSi (données structure)
Les chiffres qui n'ont pas changé peuvent être introduits seulement une fois (colonne B).</t>
  </si>
  <si>
    <t>Linie 106</t>
  </si>
  <si>
    <t>Rajout de précisions année calendaire écoulée, selon discussion ZK-Commission 09.10.2019</t>
  </si>
  <si>
    <t xml:space="preserve"> = Dotation au lit: actuelle / besoin selon activité de la dernière année calendaire</t>
  </si>
  <si>
    <t xml:space="preserve"> = Couverture des exigences minimales; selon dotation actuelle (au moment de la demande) et activité de la dernière année calendaire</t>
  </si>
  <si>
    <t xml:space="preserve"> = Stellen am Bett: aktuell / Bedarf nach Aktivität des letzten Kalenderjahres</t>
  </si>
  <si>
    <t xml:space="preserve"> = Erfüllen des Mindestbedarfs, berechnet mit aktuellen Stellen (Datum der Anfrage) und Aktivität des letzten Kalenderjahres</t>
  </si>
  <si>
    <t>Erklärung</t>
  </si>
  <si>
    <t>Le nombre recommandé par infirmier en formation est de 0.15 EPT (le nombre d'infirmier en formation est renseigné plus bas).</t>
  </si>
  <si>
    <t>Die empfohlene Stellenanzahl pro Auszubildenden beträgt 0.15 FTE (Zahl der Auszubildenden wird weiter unten eingetragen).</t>
  </si>
  <si>
    <t>Korrigiert: empfohlen, da kein Kriterium, selon discussion ZK-Commission 09.10.2019</t>
  </si>
  <si>
    <t>Arbeitszeit pro Tag</t>
  </si>
  <si>
    <t>Duréée de travail par jour</t>
  </si>
  <si>
    <t>H120</t>
  </si>
  <si>
    <t>Linie 113</t>
  </si>
  <si>
    <t>Linie 109</t>
  </si>
  <si>
    <t>Zeitkompensation pro Spät-Nachtschicht (h)</t>
  </si>
  <si>
    <t>Zusatz für Schichtwechsel  pro Tag</t>
  </si>
  <si>
    <t>Supplément pour chevauchement par jour</t>
  </si>
  <si>
    <t>Linie 112</t>
  </si>
  <si>
    <t>Schichtwechsel-Zeit</t>
  </si>
  <si>
    <t>Pro Tag, angepasst mit allen Formeln, auch in 3 DATA. Format einheitlich angepasst auf hh:mm
Damit genau wie im MDSi</t>
  </si>
  <si>
    <t>Genaue Definition der Zeit (aktuell viele Fehler im MDSi, Verwechseln von pro Schicht und pro Tag).
Anfrage an Protecdata gemacht: genaue Defintion laut excel, neu zu machen in Strukturdaten.</t>
  </si>
  <si>
    <t>Temps de chevauchement par jour (format hh:mm)
Si variations dans la semaine (p.ex. WE): entrer svp la moyenne /j (temps total de chevauchement par semaine /7)</t>
  </si>
  <si>
    <t>Überlappungszeit für Schichtwechsel (Format hh:mm)
Falls unterschiedlich an manchen Tagen (z.B. Wochenende): Bitte Durchschnitt pro Tag eingeben (wöchentliche Gesamtüberlappung /7)</t>
  </si>
  <si>
    <t>Temps moyen de chevauchement par horaire</t>
  </si>
  <si>
    <t>Durchschnittliche Überlappungszeit pro Schicht</t>
  </si>
  <si>
    <t>Wert dient zur Kontrolle der eingegebenen Werte. Falls inkorrrekt, bitte Daten überprüfen.</t>
  </si>
  <si>
    <t>Valeur pour contrôle. Si pas juste, vérifiez svp les données.</t>
  </si>
  <si>
    <t xml:space="preserve">selon activité </t>
  </si>
  <si>
    <t xml:space="preserve">gem. Aktivität </t>
  </si>
  <si>
    <t>Empfohlen</t>
  </si>
  <si>
    <t>Recommandé</t>
  </si>
  <si>
    <t>Default-Wert</t>
  </si>
  <si>
    <t>Minimal zulässig</t>
  </si>
  <si>
    <t>Maximal zulässig</t>
  </si>
  <si>
    <t>Linie hinzugefügt, um Missverständnisse zu vermeiden.
discussion ZK-Commission 09.10.2019: eher Eingabe Übergabezeit pro Tag, und nicht pro Schichtwechsel. 
Aber: im MDSi wird pro Schicht verlangt. Wird oft falsch gemacht:  MDSi muss angepasst werden, nach dieser excel-Version.</t>
  </si>
  <si>
    <t>3 Data</t>
  </si>
  <si>
    <t>Korrektur</t>
  </si>
  <si>
    <t>Anpassung für neue Tabelle MDSi (gleiche Struktur)
Verbesserung Sichtbarkeit</t>
  </si>
  <si>
    <t>Schwarz: Rohdaten</t>
  </si>
  <si>
    <t>Grün: berechnete Grundwerte</t>
  </si>
  <si>
    <t>Blau: Reglement</t>
  </si>
  <si>
    <t>Rot: nicht konform</t>
  </si>
  <si>
    <t>Noir: données brut</t>
  </si>
  <si>
    <t>Vert: données de base calculées</t>
  </si>
  <si>
    <t>Bleu: règlement</t>
  </si>
  <si>
    <t>Rouge: non-conforme</t>
  </si>
  <si>
    <t>Der Default-Wert ersetzt leere und fehlerhafte Zellen im MDSi, um Berechnungen und Vergleiche zu ermöglichen.
Defintion Fehler:  
Wert &lt; Minimal- oder &gt; Maximal zulässig</t>
  </si>
  <si>
    <t>Definition, zur Vorlage an ZK</t>
  </si>
  <si>
    <t>Spalte R-T</t>
  </si>
  <si>
    <t>B25</t>
  </si>
  <si>
    <t xml:space="preserve"> /</t>
  </si>
  <si>
    <t>Druckformat kontrolliert, wie in ZK-Commission 09.10.2019 besprochen : ok in excel 2010
Eingefügt: ";" am Ende des Namens, damit Name getrennt falls Zeilensprung nicht gemacht (scheint von excel abzuhängen)</t>
  </si>
  <si>
    <r>
      <t xml:space="preserve">Die </t>
    </r>
    <r>
      <rPr>
        <u/>
        <sz val="10"/>
        <rFont val="Arial"/>
        <family val="2"/>
      </rPr>
      <t>Hauptnutzfläche</t>
    </r>
    <r>
      <rPr>
        <sz val="10"/>
        <rFont val="Arial"/>
        <family val="2"/>
      </rPr>
      <t xml:space="preserve"> (SIA 416) pro Bett beträgt mindestens 16 m</t>
    </r>
    <r>
      <rPr>
        <vertAlign val="superscript"/>
        <sz val="10"/>
        <rFont val="Arial"/>
        <family val="2"/>
      </rPr>
      <t>2</t>
    </r>
    <r>
      <rPr>
        <sz val="10"/>
        <rFont val="Arial"/>
        <family val="2"/>
      </rPr>
      <t>. Diese Fläche umfasst das Bett und seine unmittelbare Umgebung im Patientenzimmer.</t>
    </r>
  </si>
  <si>
    <r>
      <t xml:space="preserve">La </t>
    </r>
    <r>
      <rPr>
        <u/>
        <sz val="10"/>
        <rFont val="Arial"/>
        <family val="2"/>
      </rPr>
      <t>surface utile principale</t>
    </r>
    <r>
      <rPr>
        <sz val="10"/>
        <rFont val="Arial"/>
        <family val="2"/>
      </rPr>
      <t xml:space="preserve"> (SIA 416) dévolue à chaque lit est d'au moins 16 m2. Cette surface englobe le lit et son environnement direct dans la chambre de patient.</t>
    </r>
  </si>
  <si>
    <t>https://www.fr.ch/sites/default/files/contens/seca/_www/files/pdf98/extraitnormesia416de.pdf</t>
  </si>
  <si>
    <r>
      <t>Für ein IS-Einzelzimmer beträgt die minimale Hauptnutzfläche (SIA 416) 20 m</t>
    </r>
    <r>
      <rPr>
        <vertAlign val="superscript"/>
        <sz val="10"/>
        <rFont val="Arial"/>
        <family val="2"/>
      </rPr>
      <t>2</t>
    </r>
    <r>
      <rPr>
        <sz val="10"/>
        <rFont val="Arial"/>
        <family val="2"/>
      </rPr>
      <t>, eine eventuelle Schleuse nicht mitgerechnet.</t>
    </r>
  </si>
  <si>
    <t>Pour une chambre individuelle, la surface utile principale (SIA 426)  est d'au moins 20 m2, un éventuel SAS n'étant pas compris dans ce chiffre.</t>
  </si>
  <si>
    <t>Norm SIA</t>
  </si>
  <si>
    <t>Text angepasst, laut Anfrage H. Pargger</t>
  </si>
  <si>
    <t>müssen mit MDSi übereinstimmen</t>
  </si>
  <si>
    <t>Daten
MDSi</t>
  </si>
  <si>
    <t>Spalte i</t>
  </si>
  <si>
    <t>Daten MDSi</t>
  </si>
  <si>
    <t>@</t>
  </si>
  <si>
    <t>Eingabe s.u.</t>
  </si>
  <si>
    <t>Intro cf. infra</t>
  </si>
  <si>
    <t xml:space="preserve">  - " -</t>
  </si>
  <si>
    <t>Oberärzte, Facharzt IM, FTE</t>
  </si>
  <si>
    <t>Médecins chefs de clinique, Spécialiste MI, EPT</t>
  </si>
  <si>
    <t>Nombres de médecins spécialiste en médecine intensive, y.c. le/la responsable et son remplaçant</t>
  </si>
  <si>
    <t>Taux d'activité du médecin responsable  (clinique, administration et formation), dédié exclusivement à l'USI, sans compter activité dans d'autres services.</t>
  </si>
  <si>
    <t>Aktivität des Ärztlichen Leiters  (Klinik, Administration u. Ausbildung), exklusiv für Intensivsstation, ohne Aktivität auf anderen Abteilungen.</t>
  </si>
  <si>
    <t>Stellen Ärzte</t>
  </si>
  <si>
    <t>Anpassung an MDSi-Struktur: für genaue Übereinstimmung mit MDSi</t>
  </si>
  <si>
    <t>Assistenzärzte mit Facharzt IM, FTE</t>
  </si>
  <si>
    <t>Médecins assistants spécialistes en MI, EPT</t>
  </si>
  <si>
    <t>Ärzte,
Alle Stellen einschl. Leitung u. Stellvertretung</t>
  </si>
  <si>
    <t>Médecins
Tous les postes y.c. responsable et suppléant</t>
  </si>
  <si>
    <t>Linien 86-100</t>
  </si>
  <si>
    <t>Arbeitstage pro FTE pro Jahr</t>
  </si>
  <si>
    <t>Nombre de jours de travail /EPT /an</t>
  </si>
  <si>
    <t>FTE für ärztliche Leitung &amp; Stellvertr.:</t>
  </si>
  <si>
    <t>EPT pour médecin responsable &amp; suppléant:</t>
  </si>
  <si>
    <t>Y compris aide-soignante, physiothérapie. Sans correction (CFC)</t>
  </si>
  <si>
    <t>Format hh:mm</t>
  </si>
  <si>
    <t>NEW</t>
  </si>
  <si>
    <t>Spalte neu: zeigt alle Daten an, die auch im MDSi vorhanden sind und gleich sein müssen
Daneben rechts: die Änderungen im MDSi für 2019, an Datensatzkommission weiterzugeben</t>
  </si>
  <si>
    <t>Données
MDSi</t>
  </si>
  <si>
    <t>doivent correspondre au MDSi</t>
  </si>
  <si>
    <t>Taux d'occupation USI, Resp. suppléant  (%)</t>
  </si>
  <si>
    <t>Linie 83</t>
  </si>
  <si>
    <t>FTE Stellv CA</t>
  </si>
  <si>
    <t>Anpassung &amp; Anfragung Einfügung in  MDSi-Struktur: fehlendes Kriterium!</t>
  </si>
  <si>
    <t>Format hh:mm
PRO TAG (s. Erklärung, um Fehler zu vermeiden)</t>
  </si>
  <si>
    <t>Surface utile totale de l'USI</t>
  </si>
  <si>
    <t>Gesamtnutzfläche, ganze Station</t>
  </si>
  <si>
    <t>Gesamtnutzfläche der IS</t>
  </si>
  <si>
    <t>Surface utile totale de l'ensemble de l'USI</t>
  </si>
  <si>
    <t>Patientenzimmer PLUS alle Räume, Büros, Gänge, Zentralen und anders benutzte Zimmer  (m2)</t>
  </si>
  <si>
    <t>Chambres patients PLUS toutes les autres pièces, bureaux, couloirs, desks centraux  et chambres utilisées pour d'autres fonctions (m2)</t>
  </si>
  <si>
    <t>Hauptnutzfläche ausschliesslich der Schleuse</t>
  </si>
  <si>
    <t>Surface utile principale sans compter le SAS</t>
  </si>
  <si>
    <t>Bei mehreren Zimmern mit unterschiedlicher Grösse bitte Nutzfläche des KLEINSTEN Zimmers angeben (m2).
Falls Zimmer anders genutzt werden (z.B. als Büro, Behandlungsraum etc), diese hier NICHT eingeben.</t>
  </si>
  <si>
    <t>En cas de plusieurs chambres à taille différente, indiquer la surface utile de la chambre la plus petite (m2).
Les chambres utilisées pour d'autres fonctions (bureau, salle de traitement ou de réunion) ne sont PAS à inscrire.</t>
  </si>
  <si>
    <t>Kaderärzte</t>
  </si>
  <si>
    <t>Fachärzte Intensivmedizin</t>
  </si>
  <si>
    <t>Spécialistes en Médecine intensive</t>
  </si>
  <si>
    <t>Médecins cadres</t>
  </si>
  <si>
    <t>Médecin responsable + suppléant</t>
  </si>
  <si>
    <t>davon: Stelle des Stellvertr. Leiters</t>
  </si>
  <si>
    <t>Achtung: Formeln variieren!</t>
  </si>
  <si>
    <t>Taux d'activité du médecin responsable suppléant est repris depuis champ infra.</t>
  </si>
  <si>
    <t>Einstellungsgrad des stellvertr. Leiters wird von Feld unten übernommen.</t>
  </si>
  <si>
    <t>NEW: ist Kriterium und fehlt in den Strukturdaten!
Schon mit Protecdata besprochen: stellen Antrag an Komm. DS</t>
  </si>
  <si>
    <t>Nochmals Anpassung Ärzte</t>
  </si>
  <si>
    <t>2 Antrag</t>
  </si>
  <si>
    <t>MDSi
Änderungen 2019: alle schon mit Protecdata besprochen (leiten weiter)</t>
  </si>
  <si>
    <t>Die Gesamtnutzfläche, bestehend aus Haupt- und Nebennutzflächen (SIA 416),  beträgt mindestens 40 m2 pro zertifiziertem Bett.</t>
  </si>
  <si>
    <t>La surface utile totale, composée de la surface utile principale et secondaire (SIA 416), s'élève à au moins 40 m2 par lit certifié.</t>
  </si>
  <si>
    <t>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t>
  </si>
  <si>
    <t>La surface utile principale comprend les chambres de patients, les centrales et les postes de travail en dehors des chambres pour la prise en charge directe des patients (médecins et soignants). 
La surface utile secondaire comprend tous les locaux situés à l'intérieur de l'USI. Exceptionellement, des locaux  situés à l'extérieur de l'USI peuvent être inclus dans la surface utile secondaire (p.ex. bureaux, salle de séjour, salles d'entretien ou d'attente pour les proches).
Ne sont PAS compris dans la surface utile de l’USI  les zones de circulation (SIA 416) utilisées pour accéder au périmètre de l’USI (escaliers, halls d'entrée, cages d'ascenseur) ou les zones fonctionnelles (SIA 416) telles que les locaux techniques du bâtiment, salles des machines, puits d'alimentation et d'évacuation ou zones grimpantes, même si elles sont situées dans le périmètre de l'USI.</t>
  </si>
  <si>
    <t>Kriterien
2 Antrag
4 Visitation</t>
  </si>
  <si>
    <t>Anpassung Definition Nutzfläche gemäss Diskussion ZK und offizieller Defintion SIA416: Anpassung gem. Anfrage H Pargger</t>
  </si>
  <si>
    <t>1b 2</t>
  </si>
  <si>
    <t>Automatisch gleich wie 1 ANTRAG (Formel war verloren gegangen)</t>
  </si>
  <si>
    <t>MDSi-Struktuudaten, die durch das Zertifikat festgelget sind</t>
  </si>
  <si>
    <t>Anzahl der zertifizierten Betten</t>
  </si>
  <si>
    <t>Kleine Korrektur Fomat</t>
  </si>
  <si>
    <t>Hinzufügen Liste der 5 Daten für MDSi-Struktur (im verborgenen Bereich)</t>
  </si>
  <si>
    <t>E117</t>
  </si>
  <si>
    <t>Format Zeit in Bemerkung eingegeben, nach Beobachtung Vincenzo</t>
  </si>
  <si>
    <t>Anzahl Stunden pro Tag pro FTE (=Wochenarbeitszeit /5;  Format hh:mm)</t>
  </si>
  <si>
    <t>Heures travaillées par jour par EPT (=travail hebdomadaire /5;  format hh:mm)</t>
  </si>
  <si>
    <t>4a Plan</t>
  </si>
  <si>
    <t>Station und Umgebung</t>
  </si>
  <si>
    <t>Unité et environs</t>
  </si>
  <si>
    <t>e21</t>
  </si>
  <si>
    <t>korrigiert: Station (nicht Besprechungsraum)</t>
  </si>
  <si>
    <t xml:space="preserve">Kriterien </t>
  </si>
  <si>
    <t xml:space="preserve">2 Antrag </t>
  </si>
  <si>
    <t xml:space="preserve">4 Visitation </t>
  </si>
  <si>
    <t>Krit. 1.3.2.</t>
  </si>
  <si>
    <t>d34</t>
  </si>
  <si>
    <t>f121</t>
  </si>
  <si>
    <t>Krit. 4.2.3.5</t>
  </si>
  <si>
    <r>
      <t>Alle Tätigkeiten und deren Anteile in Prozent, die vom Pflegepersonal der IS in anderen Bereichen (z.B. Arbeiten auf der Notfallstation, in der Reanimationsorganisation, Überwachung von Aufwachpatienten und Telemetriepatienten)</t>
    </r>
    <r>
      <rPr>
        <sz val="10"/>
        <color rgb="FFFF0000"/>
        <rFont val="Arial"/>
        <family val="2"/>
      </rPr>
      <t> durchgeführt werden</t>
    </r>
    <r>
      <rPr>
        <sz val="10"/>
        <color rgb="FF000000"/>
        <rFont val="Arial"/>
        <family val="2"/>
      </rPr>
      <t>, müssen separat ausgewiesen und von den Vollzeitstellen abgezählt werden.</t>
    </r>
  </si>
  <si>
    <t>d37</t>
  </si>
  <si>
    <t>frz. Text war korrekt</t>
  </si>
  <si>
    <t>d175</t>
  </si>
  <si>
    <t>f259</t>
  </si>
  <si>
    <r>
      <t>Betriebene Betten </t>
    </r>
    <r>
      <rPr>
        <sz val="12"/>
        <color rgb="FFFF0000"/>
        <rFont val="Calibri"/>
        <family val="2"/>
        <scheme val="minor"/>
      </rPr>
      <t>≥ </t>
    </r>
    <r>
      <rPr>
        <sz val="12"/>
        <color rgb="FF000000"/>
        <rFont val="Calibri"/>
        <family val="2"/>
        <scheme val="minor"/>
      </rPr>
      <t>12 sollten in funktionelle Untereinheiten aufgeteilt sein. Für IS mit &lt;12 Betten </t>
    </r>
    <r>
      <rPr>
        <sz val="12"/>
        <color rgb="FFFF0000"/>
        <rFont val="Calibri"/>
        <family val="2"/>
        <scheme val="minor"/>
      </rPr>
      <t xml:space="preserve">wird </t>
    </r>
    <r>
      <rPr>
        <sz val="12"/>
        <color rgb="FF000000"/>
        <rFont val="Calibri"/>
        <family val="2"/>
        <scheme val="minor"/>
      </rPr>
      <t>im Feld «Kann-Kriterium» eine «2» eingetragen.</t>
    </r>
  </si>
  <si>
    <t>Pour un nombre de lits exploités ≥ 12, il est conseillé d'organiser l'USI en secteurs fonctionnels distincts. Pour les US Iavec &lt; 12 lits, on inscrit  "2" comme critères souhaitable.</t>
  </si>
  <si>
    <r>
      <t xml:space="preserve">Betriebene Betten ≥ 12 sollten in funktionelle Untereinheiten aufgeteilt sein. Für IS mit &lt;12 Betten wird </t>
    </r>
    <r>
      <rPr>
        <sz val="10"/>
        <color rgb="FF000000"/>
        <rFont val="Arial"/>
        <family val="2"/>
      </rPr>
      <t>im Feld «Kann-Kriterium» eine «2» eingetragen.</t>
    </r>
  </si>
  <si>
    <t>Pour un nombre de lits exploités ≥ 12, il est conseillé d'organiser l'USI en secteurs fonctionnels distincts. Pour les USI avec &lt; 12 lits, on inscrit "2" comme critère souhaitable.</t>
  </si>
  <si>
    <t>Für jeden Bettenplatz ist ein zugehöriges Lavabo definiert. Das Lavabo muss nicht im Zimmer sein. Ein Lavabo kann mehrere Bettenplätze versorgen.</t>
  </si>
  <si>
    <t>V220330</t>
  </si>
  <si>
    <t>Krit. 2.1.5.4</t>
  </si>
  <si>
    <t>d78</t>
  </si>
  <si>
    <t>f162</t>
  </si>
  <si>
    <t>d71</t>
  </si>
  <si>
    <r>
      <t>Als Mindestabdeckung pro Schicht sind mindestens 2 Pflegefachpersonen davon 1 Person als Expertin Intensivpflege NDS HF IP (oder mit Äquivalenzbestätigung der SGI) am Bett tätig.</t>
    </r>
    <r>
      <rPr>
        <i/>
        <sz val="10"/>
        <color rgb="FF000000"/>
        <rFont val="Arial"/>
        <family val="2"/>
      </rPr>
      <t xml:space="preserve">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t>
    </r>
  </si>
  <si>
    <t xml:space="preserve">Pour chaque lit, l’accès à un lavabo est défini. Ce lavabo n’a pas besoin d‘être localisé dans la chambre. Un lavabo peut desservir plusieurs lits.hambre dispose d'un lavabo. </t>
  </si>
  <si>
    <r>
      <t>Alle Tätigkeiten und deren Anteile in Prozent, die vom Pflegepersonal der IS in anderen Bereichen (z.B. Arbeiten auf der Notfallstation, in der Reanimationsorganisation</t>
    </r>
    <r>
      <rPr>
        <sz val="8"/>
        <color theme="1"/>
        <rFont val="Calibri"/>
        <family val="2"/>
        <scheme val="minor"/>
      </rPr>
      <t> </t>
    </r>
    <r>
      <rPr>
        <sz val="10"/>
        <color rgb="FF000000"/>
        <rFont val="Arial"/>
        <family val="2"/>
      </rPr>
      <t>, Überwachung von Aufwachpatienten und Telemetriepatienten) erbracht werden, müssen separat ausgewiesen und von den Vollzeitstellen abgezählt werden.</t>
    </r>
  </si>
  <si>
    <r>
      <t>Alle Tätigkeiten und deren Anteile in Prozent, die vom Pflegepersonal der IS in anderen Bereichen (z.B. Arbeiten auf der Notfallstation, in der Reanimationsorganisation</t>
    </r>
    <r>
      <rPr>
        <sz val="8"/>
        <color theme="1"/>
        <rFont val="Calibri"/>
        <family val="2"/>
        <scheme val="minor"/>
      </rPr>
      <t> </t>
    </r>
    <r>
      <rPr>
        <sz val="10"/>
        <color rgb="FF000000"/>
        <rFont val="Arial"/>
        <family val="2"/>
      </rPr>
      <t xml:space="preserve">, Überwachung von Aufwachpatienten und Telemetriepatienten) </t>
    </r>
    <r>
      <rPr>
        <sz val="10"/>
        <color rgb="FFFF0000"/>
        <rFont val="Arial"/>
        <family val="2"/>
      </rPr>
      <t xml:space="preserve">erbracht </t>
    </r>
    <r>
      <rPr>
        <sz val="10"/>
        <color rgb="FF000000"/>
        <rFont val="Arial"/>
        <family val="2"/>
      </rPr>
      <t>werden, müssen separat ausgewiesen und von den Vollzeitstellen abgezählt werden.</t>
    </r>
  </si>
  <si>
    <t>Krit. 4.2.3.2</t>
  </si>
  <si>
    <t>Krit. 4.2.3.5.</t>
  </si>
  <si>
    <t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 </t>
  </si>
  <si>
    <t>f255</t>
  </si>
  <si>
    <r>
      <t>Alle Tätigkeiten und deren Anteile in Prozent, die vom Pflegepersonal der IS in anderen Bereichen (z.B. Arbeiten auf der Notfallstation, in der Reanimationsorganisation</t>
    </r>
    <r>
      <rPr>
        <sz val="10"/>
        <color theme="1"/>
        <rFont val="Calibri"/>
        <family val="2"/>
        <scheme val="minor"/>
      </rPr>
      <t> </t>
    </r>
    <r>
      <rPr>
        <sz val="10"/>
        <color rgb="FF000000"/>
        <rFont val="Arial"/>
        <family val="2"/>
      </rPr>
      <t xml:space="preserve">, Überwachung von Aufwachpatienten und Telemetriepatienten) </t>
    </r>
    <r>
      <rPr>
        <sz val="10"/>
        <color rgb="FFFF0000"/>
        <rFont val="Arial"/>
        <family val="2"/>
      </rPr>
      <t xml:space="preserve">erbracht </t>
    </r>
    <r>
      <rPr>
        <sz val="10"/>
        <color rgb="FF000000"/>
        <rFont val="Arial"/>
        <family val="2"/>
      </rPr>
      <t>werden, müssen separat ausgewiesen und von den Vollzeitstellen abgezählt werden.</t>
    </r>
  </si>
  <si>
    <t>Krit. 6.1.</t>
  </si>
  <si>
    <t>d204</t>
  </si>
  <si>
    <t>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t>
  </si>
  <si>
    <t>L’administration de médicaments et de produits sanguins est assurée en tout temps. Les médicaments d’urgence sont disponibles sur place, d’autres médicaments relevant et produits sanguins sont stockés dans l’hôpital et rapidement disponibles. La pratique de la ventilation non-invasive et mécanique et le traitement des complications potentielles de la ventilation sont garantie en tout temps. Les moyens suivants sont disponibles : de l’oxygène, des masque et ballons de ventilation, du matériel d’intubation y.c. des tubes spécifiques, des moyens d’intubation difficile y.c. bronchoscopie. Des ventilateurs de soins intensifs et de transport sont disponibles, ainsi que du matériel pour la trachéotomie d’urgence et le drainage thoracique. Des moyens d’enregistrement d’ECG, de défibrillation et de pacing temporaire sont disponibles. L’USI dispose d’au moins un moyen de monitoring hémodynamique invasif avancé. L’épuration extrarénale peut être pratiquée dans l’USI. L’USI dispose d’un moyen de contrôle de la température corporelle avec possibilité de refroidissement et de réchauffement. Le parc de matériel est conçu de tel sorte que même en cas d’occupation de tous les lits, le matériel doit couvrir les besoins habituels des caractéristiques des patients (selon les données MDSi).</t>
  </si>
  <si>
    <t>f288</t>
  </si>
  <si>
    <t>Einstellungsgrad des Ärztlichen Leiters wird von Feld unten übernommen.</t>
  </si>
  <si>
    <t>Taux d'activité du médecin responsable est repris depuis champ cf. infra.</t>
  </si>
  <si>
    <t>Ärztliche(r) Leiter(in), FTE</t>
  </si>
  <si>
    <t>Médecin responsable, EPT</t>
  </si>
  <si>
    <t>Bitte nur Anteil für Aktivität auf der Intensivsstation angeben (Klinik, Administration u. Ausbildung).
Einschliesslich stellvertretende Leitung (exklusive FTE des Leiters, s.o.)</t>
  </si>
  <si>
    <t>Introduire svp seulement le taux d'activités dans l'USI (clinique, administration et formation). 
Inclure le poste du responsable suppléant, mais pas celui du médecin responsable (noté ci-dessus)</t>
  </si>
  <si>
    <t>Antrag</t>
  </si>
  <si>
    <t>Bezeichnung Ärzte</t>
  </si>
  <si>
    <t>Klarere Beschreibung der Funktion</t>
  </si>
  <si>
    <t>WER</t>
  </si>
  <si>
    <t>Govind</t>
  </si>
  <si>
    <t>Anna</t>
  </si>
  <si>
    <t>Anweisung zur Antragstellung (Verantwortliche der IPS)</t>
  </si>
  <si>
    <t>Mode d'emploi pour une demande (responsable USI)</t>
  </si>
  <si>
    <t>Prozedur</t>
  </si>
  <si>
    <r>
      <t xml:space="preserve">Neues Format, mit einigen Erklärungen, wie in der ZK-Sitzung 2022-2 besprochen.
Beliebig erweiterbar, je nach Vorschlägen der Kommission.
</t>
    </r>
    <r>
      <rPr>
        <i/>
        <sz val="10"/>
        <color rgb="FF000000"/>
        <rFont val="Arial"/>
        <family val="2"/>
      </rPr>
      <t>Dieses Blatt sollte immer als erstes erscheinen (zu beachten bei jeder neuen Version).</t>
    </r>
  </si>
  <si>
    <t>Alle Zellen sollten ausgefüllt werden: das Blatt kann einfach mit der Tabulator-Taste durchlaufen werden.</t>
  </si>
  <si>
    <t>Insgesamt 6 Seiten. Falls Probleme im Format bitte korrigieren: 
Seitenorientierung "Portrait", Skalierung ca. 80%</t>
  </si>
  <si>
    <t>6 pages au total. En cas de problème, merci de corriger le format d'impression:
Orientation "Portrait", Echelle: env. 80%</t>
  </si>
  <si>
    <t>AD/AE 175</t>
  </si>
  <si>
    <t>Format pdf</t>
  </si>
  <si>
    <t>Ausdrucksformat angepasst, auf 6 Seiten</t>
  </si>
  <si>
    <t xml:space="preserve">Jedes Kriterium wird einzeln deklariert. </t>
  </si>
  <si>
    <t>Ausdruck auf pdf: Insgesamt 5-6 Seiten. Falls Probleme im Format bitte korrigieren:  Seitenorientierung "Portrait", Skalierung "Alle Spalten auf eine Seite"</t>
  </si>
  <si>
    <t>Pour impression pdf: 5-6 pages au total. En cas de problème, merci de corriger le format d'impression:  Orientation "Portrait", Echelle: "Toutes les colonnes sur 1 page"</t>
  </si>
  <si>
    <t>E+AD-AI 90-91</t>
  </si>
  <si>
    <t>E-AG-AI 143</t>
  </si>
  <si>
    <t>Physio</t>
  </si>
  <si>
    <t>Bemerkung für die Physio</t>
  </si>
  <si>
    <t>Zusätzliche Kaderärzte ohne Facharzt IM (CA/LA/OA),  FTE</t>
  </si>
  <si>
    <t>Zusätzliche Kaderärzte mit Facharzt IM (CA, LA),  FTE</t>
  </si>
  <si>
    <t>Autres Médecins cadres spécialiste en MI (Méd.  chefs ou adjoints) EPT</t>
  </si>
  <si>
    <t>Autres médecins cadres (Med. chefs, adjoints ou CDC), sans titre en MI, EPT</t>
  </si>
  <si>
    <t>Noch eine kleine Korrektur</t>
  </si>
  <si>
    <t>Der IS zur Verfügung stehende Stellen (auch wenn über eine andere Kostenstelle abgerechnet), FTE</t>
  </si>
  <si>
    <t>Postes disponibles pour l'USI (même si attribués à un autre centre de charge), EPT</t>
  </si>
  <si>
    <t>E+AI 143
E144</t>
  </si>
  <si>
    <t>E 129  AI 130</t>
  </si>
  <si>
    <t>bessere Definition</t>
  </si>
  <si>
    <t>Toutes les cellules sont à remplir. L'onglet peut être parcouru facilement avec la touche "tabulation".</t>
  </si>
  <si>
    <t>Veuillez bien lire les explications dans la colonne E.</t>
  </si>
  <si>
    <t>Via la fonction impression, cf. aussi les explications dans l'onglet "1 ANTRAG-DEMANDE".</t>
  </si>
  <si>
    <t>Per Funktion PRINT, s.a. Erklärungen im Blatt "1 ANTRAG-DEMANDE".</t>
  </si>
  <si>
    <t>Chaque critère est déclaré individuellement.</t>
  </si>
  <si>
    <t>Des remarques (texte libre) peuvent être rajoutées dans la colonne F.</t>
  </si>
  <si>
    <t>Ergänzung frz. Version.</t>
  </si>
  <si>
    <t>Bitte die Erläuterungen in der Spalte E beachten.</t>
  </si>
  <si>
    <t>Bemerkungen können als Freitext in der Spalte F eingegeben werden.</t>
  </si>
  <si>
    <t>Vollständiger, offizieller Name</t>
  </si>
  <si>
    <t>Bitte das Jahr des Erwerbs des schweiz. Facharzttitels eingeben. 
Falls eine Bestätigung der Äquivalenz vorliegt, bitte das Jahr eingeben, in dem Vorstand der SGI  die Gleichwertigkeit der Weiterbildung in Intensivmedizin erteilt hat.</t>
  </si>
  <si>
    <t>Facharzt CH Intensivmedizin oder anerkannte Äquivalenz</t>
  </si>
  <si>
    <t>Spécialiste FMH Médecine intensive ou formation équivalente reconnue</t>
  </si>
  <si>
    <t>Introduire l'année d'obtention du titre fédéral en médecine intensive. 
En cas de formation à l'étranger, veuillez introduire l'année dans la quelle le comité directeur de la SSMI a attribué officiellement l'équivalence de la formation post-graduée en médecine intensive.</t>
  </si>
  <si>
    <t>A/E 78</t>
  </si>
  <si>
    <t>Bezeichnung Facharzt</t>
  </si>
  <si>
    <t>Details 1</t>
  </si>
  <si>
    <t>Details 2</t>
  </si>
  <si>
    <r>
      <t xml:space="preserve">La présence minimale par horaire est de 2 soignant(e)s dont 1 est expert(e) en soins intensifs EPD ES (ou formation équivalente).
</t>
    </r>
    <r>
      <rPr>
        <i/>
        <sz val="8"/>
        <color theme="1"/>
        <rFont val="Arial"/>
        <family val="2"/>
      </rPr>
      <t xml:space="preserve">Ce point peut engendrer un besoin en postes d’expert(e)s EPD ES supérieur au calcul basé sur le nombre d’horaires effectifs, ou aux exigences minimale notées dans le tableau ci-dessus. L’exigence est remplie si tous les critères mentionnés (4.2.3.2) sont remplis. </t>
    </r>
  </si>
  <si>
    <r>
      <t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t>
    </r>
    <r>
      <rPr>
        <sz val="8"/>
        <color rgb="FFFF0000"/>
        <rFont val="Arial"/>
        <family val="2"/>
      </rPr>
      <t>volume</t>
    </r>
    <r>
      <rPr>
        <sz val="8"/>
        <color rgb="FF000000"/>
        <rFont val="Arial"/>
        <family val="2"/>
      </rPr>
      <t xml:space="preserve">, exprimé en pourcentage EPT, doit être déduit des postes à plein temps occupés. </t>
    </r>
  </si>
  <si>
    <t>Aktivität des Kaders für die stellvertretende Leitung  (Klinik, Administration u. Ausbildung), exklusiv für Intensivstation, ohne Aktivität für andere Abteilungen. Diese Stelle ist oben bei den Kaderärzten miteinbegriffen.</t>
  </si>
  <si>
    <t>Taux d'activité du médecin responsable  suppléant (clinique, administration et formation), dédié exclusivement à l'USI, sans compter l'activité dans d'autres services. Ce poste est compris dans les postes cadres ci-dessus.</t>
  </si>
  <si>
    <t>Bitte alle verfügbaren für die IS relevanten Dienste eingeben (mit Komma getrennt).
Z.B. Chirurgie allgemein, Viszeral, Herz- und Thoraxchirurgie, Urologie, Medizin, Kardiologie, Gynäkologie, Infektiologie etc.</t>
  </si>
  <si>
    <t>FTE nur für die allgemeine Weiterbildung des Pflegepersonals der IS und die Praxisausbildung für das Pflegefachpersonal im Nachdiplomstudium NDS HF Intensivpflege (Lernort Praxis).
FTE für die theoretische Bildungsteile (Bildungsanbieter) dürfen hier nicht erfasst werden.</t>
  </si>
  <si>
    <t>Anzahl andere IS-Betten im Spital</t>
  </si>
  <si>
    <t>Bitte Zahl eingeben. Falls keine andere IS bitte 0 eingeben.</t>
  </si>
  <si>
    <t>Anstellungsgrad IS (%)</t>
  </si>
  <si>
    <t>Anstellungsgrad IS stellvertr. Leitung (%)</t>
  </si>
  <si>
    <t>Anzahl der auf der IS arbeitenden Fachärzte Intensivmedizin, einschl. ärztlicher Leiter u. Stellvertr.</t>
  </si>
  <si>
    <t>Historik</t>
  </si>
  <si>
    <t>Kleine Korrekturen (Vorschlag Markus)</t>
  </si>
  <si>
    <t xml:space="preserve">
                - anstatt voller «VOLLSTÄNDIGER» offizieller Name
korrigiert
Zeile 78 / 84:  Was soll dokumentiert werden, wenn es sich um einen ausländischen, aber anerkannten Facharzttitel handelt? Es wird ja ausdrücklich  nach dem CH Facharzttitel gefragt.
NEU: Erklärung angefügt
Zeile 99 /E:   Ergänzen noch mit , «ohne Aktivität für andere Abteilungen»
hinzugefügt
- IPS ersetzen durch IS, bspw. Z103-4/SE; Z128 /SE
 überall gemacht</t>
  </si>
  <si>
    <t>Mini- Korrekturen (Vorschlag Markus)</t>
  </si>
  <si>
    <t>Genauere Erklärung, auch bezügl. ausländischem Diplom,        s. rechts :</t>
  </si>
  <si>
    <t>Kontrolle vor dem Aufschalten (für IMK)</t>
  </si>
  <si>
    <t>Details 3</t>
  </si>
  <si>
    <t>Details 4</t>
  </si>
  <si>
    <t>1. Alle Blätter schreibgeschützt (Passwort von Govind)
    Spalten "masqué" ganz rechts in Blättern Antrag und Autodeklaration verstecken
2. Cursor steht in allen Blättern auf der ersten Position (blaues Feld oben links)
3. Blatt Historik  gelöscht
4. Beim Öffnen erscheint Blatt Prozedur</t>
  </si>
  <si>
    <t>4.1.2.2.</t>
  </si>
  <si>
    <t>4.1.4.1.</t>
  </si>
  <si>
    <r>
      <t>Ein für die IS zuständiger Arzt mit einem eidgenössischen Facharzttitel Intensivmedizin oder einer entsprechenden Äquivalenzbestätigung durch den Vorstand der SGI muss dauernd erreichbar und im Dienstbetrieb bei Bedarf</t>
    </r>
    <r>
      <rPr>
        <b/>
        <sz val="10"/>
        <color rgb="FF000000"/>
        <rFont val="Arial"/>
        <family val="2"/>
      </rPr>
      <t xml:space="preserve"> innert </t>
    </r>
    <r>
      <rPr>
        <b/>
        <strike/>
        <sz val="10"/>
        <color rgb="FFFF0000"/>
        <rFont val="Arial"/>
        <family val="2"/>
      </rPr>
      <t>2 Stunden</t>
    </r>
    <r>
      <rPr>
        <b/>
        <sz val="10"/>
        <color rgb="FFFF0000"/>
        <rFont val="Arial"/>
        <family val="2"/>
      </rPr>
      <t xml:space="preserve"> </t>
    </r>
    <r>
      <rPr>
        <b/>
        <sz val="10"/>
        <color rgb="FF00B050"/>
        <rFont val="Arial"/>
        <family val="2"/>
      </rPr>
      <t xml:space="preserve"> 1 Stunde</t>
    </r>
    <r>
      <rPr>
        <b/>
        <sz val="10"/>
        <color rgb="FF000000"/>
        <rFont val="Arial"/>
        <family val="2"/>
      </rPr>
      <t xml:space="preserve"> auf der IS </t>
    </r>
    <r>
      <rPr>
        <sz val="10"/>
        <color rgb="FF000000"/>
        <rFont val="Arial"/>
        <family val="2"/>
      </rPr>
      <t>anwesend sein.</t>
    </r>
    <r>
      <rPr>
        <sz val="12"/>
        <color rgb="FF00B050"/>
        <rFont val="Arial"/>
        <family val="2"/>
      </rPr>
      <t xml:space="preserve"> </t>
    </r>
    <r>
      <rPr>
        <sz val="10"/>
        <color rgb="FF00B050"/>
        <rFont val="Arial"/>
        <family val="2"/>
      </rPr>
      <t>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t>
    </r>
  </si>
  <si>
    <t>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t>
  </si>
  <si>
    <t>Regelung bezüglich Geltung der Versionen und Übergangsfristen</t>
  </si>
  <si>
    <t>Massgebend im Zertifizierungsprozess bis zu dessen Abschluss ist immer die Version der Qualitätskriterien, welche zum Zeitpunkt der Bestätigung über die vollständige Eingabe der Zertifizierungsunterlagen gemäss Richtlinien in Kraft war.</t>
  </si>
  <si>
    <t>Für alle inhaltlichen Veränderungen kann sich eine Station auf eine 12 monatliche Übergangsfrist vom Zeitpunkt der Inkraftsetzung durch den Vorstand bis zur Bestätigung der Eingabe des vollständigen Zertifizierungsdossiers berufen.</t>
  </si>
  <si>
    <t>10.3.</t>
  </si>
  <si>
    <t>Der Vorstand kann längere Übergangsfristen festlegen. Diese werden den jeweiligen Änderungen speziell zugeordnet und sind direkt beim Kriterium mit der Laufzeit erwähnt.</t>
  </si>
  <si>
    <t>10.</t>
  </si>
  <si>
    <t>10.1.</t>
  </si>
  <si>
    <t>10.2.</t>
  </si>
  <si>
    <t>228-231</t>
  </si>
  <si>
    <t>Un médecin-cadre pour l’USI, porteur d’un titre fédéral en médecine intensive – le cas échéant en anesthésiologie/médecine interne/chirurgie/pédiatrie – avec une formation d’au moins 6 mois en médecine intensive - doit être présent dans l’hôpital ou opérationnel le cas échéant dans un délai de 30 minutes si le médecin de garde de l'USI ne possède pas cette qualification. La fonction de médecin cadre responsable est exercée à tout moment par une seule personne, qui est le seul interlocuteur du médecin du service et de l'équipe soignante. Il n'est donc pas admissible qu'en fonction du diagnostic ou du type de thérapie de médecine intensive (p.ex. "médicale", "chirurgicale", ventilée, non ventilée), différents médecins-cadres soient responsables des patients des USI pendant la même équipe.</t>
  </si>
  <si>
    <t>Un médecin porteur du titre fédéral de spécialiste en médecine intensive ou d’un titre équivalent délivré par le comité de la SSMI, répondant pour l’USI, doit être joignable en permanence et, en cas de besoin, opérationnel dans l’USI dans 1 heure. Dans un réseau défini, un seul médecin titulaire d'un titre fédéral de spécialiste en médecine intensive ou d'une attestation d'équivalence correspondante délivrée par le comité de la SSMI peut également assurer un service d'arrière-plan pour plus d'un site USI, à condition qu'un médecin cadre ou un médecin d'unité responsable des SI, titulaire d'un titre fédéral de spécialiste en médecine intensive ou en anesthésiologie/médecine interne/chirurgie/pédiatrie avec une formation postgraduée d'au moins six mois en médecine intensive, soit présent en permanence dans l'hôpital sur tous les sites.</t>
  </si>
  <si>
    <t>Réglementation concernant la validité des versions et les délais de transition</t>
  </si>
  <si>
    <t>La version des critères de qualité en vigueur au moment de la confirmation de l'introduction du dossier complet de certification selon les directives est toujours déterminante dans le processus de certification jusqu'à son achèvement.</t>
  </si>
  <si>
    <t>Pour toute modification des critères de qualité, une unité peut se prévaloir d'une période de transition de 12 mois entre la date d'entrée en vigueur par le comité directeur et la confirmation de l'introduction du dossier complet de certification.</t>
  </si>
  <si>
    <t>Le comité de la SSMI peut fixer des périodes de transition plus longues. Celles-ci sont spécialement attribuées aux modifications concernées et sont donc mentionnées directement dans le critère de qualité modifié (avec la durée de la période de transition spécifique à ce critère).</t>
  </si>
  <si>
    <r>
      <t xml:space="preserve">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t>
    </r>
    <r>
      <rPr>
        <sz val="10"/>
        <color rgb="FF00B050"/>
        <rFont val="Arial"/>
        <family val="2"/>
      </rPr>
      <t>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t>
    </r>
  </si>
  <si>
    <t>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t>
  </si>
  <si>
    <t>Korrektur: gelöscht: innert 2 Stunden</t>
  </si>
  <si>
    <t xml:space="preserve">Antrag </t>
  </si>
  <si>
    <t>83-87</t>
  </si>
  <si>
    <t xml:space="preserve">Ergänzung Eingabe für ärztliche Co-Leitung (ohne  Beschäftigungsgrad </t>
  </si>
  <si>
    <t>Höhe der Linien adaptiert</t>
  </si>
  <si>
    <t>Leitung Pflege, Stellvertreter</t>
  </si>
  <si>
    <t>Responsable infirmier Soins, suppléant</t>
  </si>
  <si>
    <t>Wie in ZK besprochen: Einfügung des Stellvertr., wie bei Arzt</t>
  </si>
  <si>
    <t>FTE in dieser Funktion (ohne Tätigkeit am Patientenbett).
Inklusive der oben eingegebenen Stellen für Leitung und Stellvertretung.</t>
  </si>
  <si>
    <t>EPT dédié à cette tâche (sans le travail en clinique au pied du lit).
Y.c. les postes du responsable et de son suppléant introduit plus haut.</t>
  </si>
  <si>
    <t>FTE in dieser Funktion (ohne Tätigkeit am Patientenbett).</t>
  </si>
  <si>
    <t>EPT dédié à cette tâche (sans le travail en clinique au pied du lit).</t>
  </si>
  <si>
    <t>E132</t>
  </si>
  <si>
    <t>Linien 113-118</t>
  </si>
  <si>
    <r>
      <t xml:space="preserve">Anmerkung, Zusatz: 
</t>
    </r>
    <r>
      <rPr>
        <sz val="12"/>
        <color rgb="FF00B050"/>
        <rFont val="Calibri (Corps)"/>
      </rPr>
      <t>Inklusive der oben eingegebenen Stellen für Leitung und Stellvertretung.</t>
    </r>
  </si>
  <si>
    <t>Eingabe vom 12.2. wieder gelöscht, gem. Entscheid ZK und Mail mit Anna &amp; Mio: ärztl. Stellvertr reicht aus (war schon vorhanden).</t>
  </si>
  <si>
    <t xml:space="preserve">Anna </t>
  </si>
  <si>
    <t xml:space="preserve">4.2.3.2. </t>
  </si>
  <si>
    <r>
      <t xml:space="preserve">Fehlender erster Teil des Textes eingefügt:
</t>
    </r>
    <r>
      <rPr>
        <sz val="12"/>
        <color rgb="FF00B050"/>
        <rFont val="Calibri (Textkörper)"/>
      </rPr>
      <t>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t>
    </r>
    <r>
      <rPr>
        <sz val="12"/>
        <color theme="1"/>
        <rFont val="Calibri"/>
        <family val="2"/>
        <scheme val="minor"/>
      </rPr>
      <t xml:space="preserve">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t>
    </r>
  </si>
  <si>
    <t>R171</t>
  </si>
  <si>
    <r>
      <rPr>
        <sz val="11"/>
        <color rgb="FF00B050"/>
        <rFont val="Arial"/>
        <family val="2"/>
      </rPr>
      <t>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t>
    </r>
    <r>
      <rPr>
        <sz val="11"/>
        <rFont val="Arial"/>
        <family val="2"/>
      </rPr>
      <t xml:space="preserve">
Als Mindestabdeckung pro Schicht sind mindestens 2 Pflegefachpersonen davon 1 Person als Expertin Intensivpflege NDS HF IP (oder mit Äquivalenzbestätigung der SGI) am Bett tätig.
</t>
    </r>
    <r>
      <rPr>
        <i/>
        <sz val="10"/>
        <color theme="1"/>
        <rFont val="Arial"/>
        <family val="2"/>
      </rPr>
      <t>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t>
    </r>
  </si>
  <si>
    <r>
      <rPr>
        <sz val="11"/>
        <color rgb="FF00B050"/>
        <rFont val="Arial"/>
        <family val="2"/>
      </rPr>
      <t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t>
    </r>
    <r>
      <rPr>
        <sz val="11"/>
        <rFont val="Arial"/>
        <family val="2"/>
      </rPr>
      <t xml:space="preserve">
La présence minimale par horaire est de 2 soignant(e)s dont 1 est expert(e) en soins intensifs EPD ES (ou formation équivalente).
</t>
    </r>
    <r>
      <rPr>
        <i/>
        <sz val="10"/>
        <color theme="1"/>
        <rFont val="Arial"/>
        <family val="2"/>
      </rPr>
      <t xml:space="preserve">Ce point peut engendrer un besoin en postes d’expert(e)s EPD ES supérieur au calcul basé sur le nombre d’horaires effectifs, ou aux exigences minimale notées dans le tableau ci-dessus. L’exigence est remplie si tous les critères mentionnés (4.2.3.2) sont remplis. </t>
    </r>
  </si>
  <si>
    <t xml:space="preserve">Kriterien Frz </t>
  </si>
  <si>
    <t>S171</t>
  </si>
  <si>
    <t>4.2.3.2.</t>
  </si>
  <si>
    <r>
      <rPr>
        <sz val="12"/>
        <color theme="1"/>
        <rFont val="Calibri (Textkörper)"/>
      </rPr>
      <t>Fehlender erster Teil des Textes eingefügt:</t>
    </r>
    <r>
      <rPr>
        <sz val="12"/>
        <color rgb="FF00B050"/>
        <rFont val="Calibri (Textkörper)"/>
      </rPr>
      <t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t>
    </r>
    <r>
      <rPr>
        <sz val="12"/>
        <color theme="1"/>
        <rFont val="Calibri"/>
        <family val="2"/>
        <scheme val="minor"/>
      </rPr>
      <t xml:space="preserve">
La présence minimale par horaire est de 2 soignant(e)s dont 1 est expert(e) en soins intensifs EPD ES (ou formation équivalente).
Ce point peut engendrer un besoin en postes d’expert(e)s EPD ES supérieur au calcul basé sur le nombre d’horaires effectifs, ou aux exigences minimale notées dans le tableau ci-dessus. L’exigence est remplie si tous les critères mentionnés (4.2.3.2) sont remplis. </t>
    </r>
  </si>
  <si>
    <t>Anpassung Zeilenhöhe der geänderten Texte</t>
  </si>
  <si>
    <t>2 Autodekl.</t>
  </si>
  <si>
    <t>4 Visit.</t>
  </si>
  <si>
    <t>Arbeitstage /j.</t>
  </si>
  <si>
    <t>B+C 122</t>
  </si>
  <si>
    <t>Wie in ZK besprochen: Maximalwert = 210
Mit Anpassung der Kommentare</t>
  </si>
  <si>
    <t>Kommentar zu Anzahl Arbeitstagen pro Jahr</t>
  </si>
  <si>
    <t>Remarque concernant le nombre de jours travaillés /a</t>
  </si>
  <si>
    <t>Nombre de jour de travail par EPT (chiffre normalement connu par les RH):  365 jours moins jours de fête et de week-end, vacances, formation, maladie, accident. Moyenne suisse env. 200-210 jours.
Si la valeur réelle est supérieure, entrez 210 et rajoutez un commentaire ci-dessous.</t>
  </si>
  <si>
    <t>Arbeitstage pro Jahr pro FTE  (Angabe normalerweise beim Personaldienst erhältlich):  365 Tage minus Wochend-und Feiertage, Ferien, Weiterbildung, Krankheit und Unfall. Schweizer Schnitt: ca. 200-210 Tage. 
Falls der reale Wert höher ist, bitte 210 eingeben und Kommentar eingeben.</t>
  </si>
  <si>
    <t>B123</t>
  </si>
  <si>
    <t>Neu Linie für Bemerkung zu Anzahl Arbeitstagen</t>
  </si>
  <si>
    <t>Legende für Dienstplan Arzt (falls nicht im Plan integriert)</t>
  </si>
  <si>
    <t>DienstplanAerzte_Legende</t>
  </si>
  <si>
    <t>PlansGardeMedecins_legende</t>
  </si>
  <si>
    <t>Legende für Dienstplan Pflege (falls nicht im Plan integriert)</t>
  </si>
  <si>
    <t>Légende pour le planning soins (si pas inclus)</t>
  </si>
  <si>
    <t>Légende pour le planning médical (si pas inclus)</t>
  </si>
  <si>
    <t>DienstplanPflege_Legende</t>
  </si>
  <si>
    <t>PlansGardeInfirmiers_legende</t>
  </si>
  <si>
    <t>D18</t>
  </si>
  <si>
    <t>Neu eingefügt, gem. ZK Besprechung</t>
  </si>
  <si>
    <t>Dienstplan Pflege -Legende</t>
  </si>
  <si>
    <t>Dienstplan Ärzte -Legende</t>
  </si>
  <si>
    <t xml:space="preserve">Dateien, die nach Abschluss der Visite der IMK zuzustellen sind </t>
  </si>
  <si>
    <t>Fichiers à fournir à l'IMK après la visite</t>
  </si>
  <si>
    <t>Formule</t>
  </si>
  <si>
    <t>PROZEDUR</t>
  </si>
  <si>
    <t>1, 3, 4</t>
  </si>
  <si>
    <t>cf. infra</t>
  </si>
  <si>
    <t>Dateiname</t>
  </si>
  <si>
    <t>Nom de fichier</t>
  </si>
  <si>
    <t>Veuillez donner le nom ci-dessous au fichier (copier ici, puis coller dans nom de fichier)
Si noms incorrect: contrôler L'onglet  1 DEMANDE</t>
  </si>
  <si>
    <t>Nommer les fichiers selon la procédure ci-dessous</t>
  </si>
  <si>
    <t>Bitte den Dateien den Namen s.u. geben</t>
  </si>
  <si>
    <t>Präsentation des Dossiers an der ZK</t>
  </si>
  <si>
    <t>Présentation du dossier à la ZK</t>
  </si>
  <si>
    <t>Nächste Sitzung</t>
  </si>
  <si>
    <t>Prochaine séance</t>
  </si>
  <si>
    <t>Pour la liste complète cf. infra</t>
  </si>
  <si>
    <t>Für die komplette Liste aller Dokumente s.u.</t>
  </si>
  <si>
    <t>Das Excel enthält verschiedene Daten-Blätter. Das Blatt "1 ANTRAG-DEMANDE" wird zuerst ausgefüllt, anschliessend das Blatt "2 Autodeklaration". Die Liste der dem Antrag beizufügenden Dokumente befindet sich in diesem Datenblatt (s.u.).</t>
  </si>
  <si>
    <t>Le fichier Excel contient plusieurs onglets. L'onglet "1 ANTRAG-DEMANDE" est rempli en premier, puis l'onglet "2 Autodeklaration". La liste des documents à joindre à la demande se trouve dans cet onglet (cf. infra).</t>
  </si>
  <si>
    <t>Bitte Antrag per Mail schicken und ALLE Dateien mit dem unten generierten Namen als pdf/xls beifügen.</t>
  </si>
  <si>
    <t>Envoyer votre demande svp par mail, et joindre TOUS  les fichiers pdf/xls nommés selon les indications ci-dessous.</t>
  </si>
  <si>
    <t>Bitte den Antrag auch per Post senden. Es genügen die drei unten mit "x" gekennzeichneten Dokumente (Kreuz Spalte D, s.u.) - bitte Alle drei unterschreiben.</t>
  </si>
  <si>
    <t xml:space="preserve">Veuillez envoyer la demande aussi par poste.  Les trois documents (cf. croix colonne D, cf. infra) suffisent, en version papier signée. </t>
  </si>
  <si>
    <t>Postadresse</t>
  </si>
  <si>
    <t>Adresse postale</t>
  </si>
  <si>
    <t>SGI Geschäftsstelle, Zertifizierungskommission (ZK-IS)
Prof. Dr. med. Miodrag Filipovic
c/o IMK AG, Münsterberg 1, 4001 Basel</t>
  </si>
  <si>
    <t>Dokumente auch für Postsendung</t>
  </si>
  <si>
    <t>Documents aussi pour l'envoi par poste</t>
  </si>
  <si>
    <t>Fin du formulaire. Veuillez imprimer la demande en format pdf (Nom de fichier cf. feuille PROZEDUR) et signer l'original.</t>
  </si>
  <si>
    <t>PDF: drucken mit pdf-Generator, Dateiname s.u. (kann direkt vom Blatt PROZEDUR kopiert werden).</t>
  </si>
  <si>
    <t>Am Ende bitte als pdf speichern (Dateiname s. Blatt PROZEDUR) und zur Unterschrift ausgedrucken.</t>
  </si>
  <si>
    <t>A la fin, veuillez enregistrer sous pdf (nom fichier cf. onglet PROZEDUR), et imprimer pour signature.</t>
  </si>
  <si>
    <t>Dokumente 1b</t>
  </si>
  <si>
    <t>GELOESCHT !</t>
  </si>
  <si>
    <t>4a Exp-ZK</t>
  </si>
  <si>
    <t xml:space="preserve">NEW: </t>
  </si>
  <si>
    <t>mit Allem, was Experten wissen müssen, einschl. Dateinamen</t>
  </si>
  <si>
    <t>Für Station</t>
  </si>
  <si>
    <t>mit Dokumentenliste</t>
  </si>
  <si>
    <t>Zusatzfuntionen</t>
  </si>
  <si>
    <t>bessere Definition, wie in ZK 9.12. besprochen</t>
  </si>
  <si>
    <t>Leistungen ausserhalb der IS und Zusatzfunktionen ohne Tätigkeit am Patientenbett</t>
  </si>
  <si>
    <t xml:space="preserve">FTE für Zusatzfunktionen wie z.B Material, Hygiene, Informatik (auch wenn über eine andere Kostenstelle abgerechnet).
FTE für Pflegeleistungen ausserhalb der IS. Beispiele: Reanimation, interne und externe Transporte, Überwachung von Aufwachpatienten, Interventionen und Diagnostik, Telemetrie. Betrifft alle Leistungen an Patienten, die nicht im MDSi erfasst sind. </t>
  </si>
  <si>
    <t>EPT disponibles pour des fonctions supplémentaires (même si attribués à un autre centre de charge), p.ex. matériel, hygiène, informatique.
EPT utilisés pour des prestations hors USI. Exemples: réanimation, transports internes et externes, surveillance de patients de type salle de réveil, interventions et diagnostics, télémétrie. Concerne toutes les prestations auprès des patients qui ne sont pas saisies dans le MDSi.</t>
  </si>
  <si>
    <t>Prestations en dehors de l'USI et fonctions supplémentaires hors travail au lit du patient</t>
  </si>
  <si>
    <t>https://www.swiss-icu-cert.ch/de/Zertifikation</t>
  </si>
  <si>
    <t>https://www.swiss-icu-cert.ch/fr/demande-de-certification</t>
  </si>
  <si>
    <t>Bitte für jeden neuen Antrag immer nur die aktuelle Version dieses excel-Files benutzen. Ältere Versionen können nicht bearbeitet werden. 
Die gültige Version kann hier runtergeladen werden:</t>
  </si>
  <si>
    <t>Pour chaque nouvelle demande, merci d'utiliser exclusivement la dernière version de ce fichier excel. Des versions anciennes ne sont pas acceptées.
La version actuelle peut être téléchargée ici:</t>
  </si>
  <si>
    <t>Facharzt/ärztin Intensivmedizin</t>
  </si>
  <si>
    <t>Vorname</t>
  </si>
  <si>
    <t xml:space="preserve">Name </t>
  </si>
  <si>
    <t xml:space="preserve">Spital </t>
  </si>
  <si>
    <t xml:space="preserve">Abteilung </t>
  </si>
  <si>
    <t xml:space="preserve">Funktion </t>
  </si>
  <si>
    <t xml:space="preserve">Strasse </t>
  </si>
  <si>
    <t xml:space="preserve">Funktion für Visitation - copy paste </t>
  </si>
  <si>
    <t xml:space="preserve">Miodrag </t>
  </si>
  <si>
    <t>Filipovic</t>
  </si>
  <si>
    <t>Kantonsspital St. Gallen (KSSG)</t>
  </si>
  <si>
    <t>Klinik für Operative Intensivmedizin KOIM</t>
  </si>
  <si>
    <t xml:space="preserve">Chefarzt </t>
  </si>
  <si>
    <t>Rorschacherstrasse 95</t>
  </si>
  <si>
    <t>Chefarzt, Klinik für Operative Intensivmedizin KOIM, Kantontsspital St. Gallen</t>
  </si>
  <si>
    <t>Hans</t>
  </si>
  <si>
    <t>Pargger</t>
  </si>
  <si>
    <t>Universitätsspital Basel (USB)</t>
  </si>
  <si>
    <t>Chefarzt Intensivmedizin aD</t>
  </si>
  <si>
    <t xml:space="preserve">Spitalstrasse 21 </t>
  </si>
  <si>
    <t>Chefarzt Intensivmedizin aD, Universitätsspital Basel</t>
  </si>
  <si>
    <t>Vincenzo</t>
  </si>
  <si>
    <t>Cannizzaro</t>
  </si>
  <si>
    <t>Universitätsspital Zürich (USZ)</t>
  </si>
  <si>
    <t>Klinik für Neonatologie</t>
  </si>
  <si>
    <t>Leitender Arzt</t>
  </si>
  <si>
    <t>Frauenklinikstrasse 10</t>
  </si>
  <si>
    <t>Leitender Arzt, Klinik für Neonatologie, Universitätsspital Zürich</t>
  </si>
  <si>
    <t>Margrit</t>
  </si>
  <si>
    <t>Cohen</t>
  </si>
  <si>
    <t>Hôpitaux Universitaire de Genève (HUG)</t>
  </si>
  <si>
    <t>Secteur Formations spécialisées</t>
  </si>
  <si>
    <t xml:space="preserve">Chargée de formation en SI adultes </t>
  </si>
  <si>
    <t>22, rue Alicide-Jentzer</t>
  </si>
  <si>
    <t>Chargée de formation en SI adultes, Secteur Formation, Hôpitaux Universitaire de Genève</t>
  </si>
  <si>
    <t>Dumeng</t>
  </si>
  <si>
    <t>Décosterd</t>
  </si>
  <si>
    <t>Hôpital Neuchâtel (RHNe)</t>
  </si>
  <si>
    <t>Service des soins intensifs</t>
  </si>
  <si>
    <t xml:space="preserve">Médecin chef de service </t>
  </si>
  <si>
    <t>Route de la Maladière 45</t>
  </si>
  <si>
    <t xml:space="preserve">Médecin chef de service, Service des soins intensifs, Hôpital Neuchâtel </t>
  </si>
  <si>
    <t>Ruth</t>
  </si>
  <si>
    <t>Dutler</t>
  </si>
  <si>
    <t>Stiftung Ostschweizer Kinderspital</t>
  </si>
  <si>
    <t xml:space="preserve">Pflege und Betreuung </t>
  </si>
  <si>
    <t>Stationsleiterin Intensivpflege</t>
  </si>
  <si>
    <t>Claudiusstrasse 6</t>
  </si>
  <si>
    <t xml:space="preserve">Stationsleiterin Intensivpflege, Pflege und Betreuung, Ostschweizer Kinderspital, St. Gallen </t>
  </si>
  <si>
    <t>Rolf</t>
  </si>
  <si>
    <t>Ensner</t>
  </si>
  <si>
    <t xml:space="preserve">Spital Muri </t>
  </si>
  <si>
    <t xml:space="preserve">Intensivstation </t>
  </si>
  <si>
    <t xml:space="preserve">Ärztlicher Leiter Intensivstation </t>
  </si>
  <si>
    <t>Spitalstrasse 144</t>
  </si>
  <si>
    <t xml:space="preserve">Leitung Intensivstation, Spital Muri </t>
  </si>
  <si>
    <t>Isabelle</t>
  </si>
  <si>
    <t>Fleisch</t>
  </si>
  <si>
    <t>Hirslanden Clinique Cécil</t>
  </si>
  <si>
    <t xml:space="preserve">Médecine Intensive </t>
  </si>
  <si>
    <t xml:space="preserve">Ärztliche Leiterin Intensivstation </t>
  </si>
  <si>
    <t>Avenue Ruchmonnet 53</t>
  </si>
  <si>
    <t>Leiterin Intensivstation, Service de médecine Intensive, Hirslanden Clinique Cécil, Lausanne</t>
  </si>
  <si>
    <t>Raymond</t>
  </si>
  <si>
    <t>Friolet</t>
  </si>
  <si>
    <t xml:space="preserve">Hôpital du Valais (HVS) </t>
  </si>
  <si>
    <t xml:space="preserve">Service de Médecine Intensive </t>
  </si>
  <si>
    <t xml:space="preserve">Chef du Service de Médecine Intensive </t>
  </si>
  <si>
    <t>Avenue du Grand-Champsec 80</t>
  </si>
  <si>
    <t>Chef du Service de Médecine Intensive, Hôpital du Valais, Sion</t>
  </si>
  <si>
    <t xml:space="preserve">Brigitte </t>
  </si>
  <si>
    <t xml:space="preserve">Hämmerli </t>
  </si>
  <si>
    <t xml:space="preserve">Inselspital, Universitätsspital Bern </t>
  </si>
  <si>
    <t xml:space="preserve">Universitätsklinik für Intensivmedizin </t>
  </si>
  <si>
    <t xml:space="preserve">Fachbereichsleitung Pflege </t>
  </si>
  <si>
    <t>Fachbereichsleitung Pflege, Universitätsklinik für Intensivmedizin, Inselspital Bern</t>
  </si>
  <si>
    <t>Rafael</t>
  </si>
  <si>
    <t>Knüsel</t>
  </si>
  <si>
    <t>Hirslanden Klinik Beau Site</t>
  </si>
  <si>
    <t>Ärztlicher Leiter Intensivmedizin</t>
  </si>
  <si>
    <t>Schänzlihalde 11</t>
  </si>
  <si>
    <t>Ärztlicher Leiter Intensivmedizin, Intensivstation, Hirslanden Klinik Beau Site, Bern</t>
  </si>
  <si>
    <t>Marcus</t>
  </si>
  <si>
    <t>Laube</t>
  </si>
  <si>
    <t>Spitalzentrum Biel (SBZ)</t>
  </si>
  <si>
    <t xml:space="preserve">Chefarzt Intensivmedizin </t>
  </si>
  <si>
    <t>Vogelsang 84</t>
  </si>
  <si>
    <t>Chefarzt Intensivmedizin, Intensivstation, Spitalzentrum Biel</t>
  </si>
  <si>
    <t>Angelika</t>
  </si>
  <si>
    <t>Lehmann</t>
  </si>
  <si>
    <t xml:space="preserve">Klinikleitung Pflege </t>
  </si>
  <si>
    <t>Petersgraben 4</t>
  </si>
  <si>
    <t>Klinikleitung Pflege, Intensivstation, Universitätsspital Basel</t>
  </si>
  <si>
    <t xml:space="preserve">Alessandra </t>
  </si>
  <si>
    <t xml:space="preserve">Pedrazzini </t>
  </si>
  <si>
    <t>Ospedale Regionale Locarno, La Carità</t>
  </si>
  <si>
    <t>Infermiera capo reparto</t>
  </si>
  <si>
    <t>Infermiera capo reparto, Ospedale Regionale di Locarno</t>
  </si>
  <si>
    <t xml:space="preserve">Irene </t>
  </si>
  <si>
    <t>Penker</t>
  </si>
  <si>
    <t xml:space="preserve">Institut für Intensivmedizin </t>
  </si>
  <si>
    <t xml:space="preserve">Abteilungsleiterin Pflege </t>
  </si>
  <si>
    <t>Rämistrasse 100</t>
  </si>
  <si>
    <t xml:space="preserve">Abteilungsleiterin Pflege, Institut für Intensivmedizin, Universitätsspital Zürich </t>
  </si>
  <si>
    <t xml:space="preserve">Marco </t>
  </si>
  <si>
    <t xml:space="preserve">Previsdomini </t>
  </si>
  <si>
    <t xml:space="preserve">Ospedale Regionale Bellinzona, San Giovanni </t>
  </si>
  <si>
    <t xml:space="preserve">Medicina Intensiva </t>
  </si>
  <si>
    <t xml:space="preserve">Caposervizio Medicina Intensiva </t>
  </si>
  <si>
    <t>Via A. Gallino 12</t>
  </si>
  <si>
    <t>Caposervizio Medicina Intensiva, Ospedale Regionale Bellinzona</t>
  </si>
  <si>
    <t xml:space="preserve">Felix </t>
  </si>
  <si>
    <t xml:space="preserve">Reichlin </t>
  </si>
  <si>
    <t xml:space="preserve">Hirslanden Klinik St. Anna </t>
  </si>
  <si>
    <t>Klinik für Anästhesie, Intensivmedizin und Schmerztherapie</t>
  </si>
  <si>
    <t>Ärztlicher Leiter Intensivstation</t>
  </si>
  <si>
    <t>St. Anna-Strasse 32</t>
  </si>
  <si>
    <t xml:space="preserve">Reto </t>
  </si>
  <si>
    <t xml:space="preserve">Schüpbach </t>
  </si>
  <si>
    <t>Insitut für Intensivmedizin (IFI)</t>
  </si>
  <si>
    <t xml:space="preserve">Direktor </t>
  </si>
  <si>
    <t xml:space="preserve">Direkto Institut für Intensivmedizin IFI, Universitätsspital Zürich </t>
  </si>
  <si>
    <t>Sridharan</t>
  </si>
  <si>
    <t>Hôpital fribourgeois</t>
  </si>
  <si>
    <t>Médecin chef, Soins intensifs, Hôpital fribourgeois</t>
  </si>
  <si>
    <t>Reto</t>
  </si>
  <si>
    <t>Stocker</t>
  </si>
  <si>
    <t xml:space="preserve">Hirslanden Klinik </t>
  </si>
  <si>
    <t>Quality of Life Stiftung, Glattbrugg</t>
  </si>
  <si>
    <t>Leiter Forschung, Lehre und Med. Qualitätsprogramme</t>
  </si>
  <si>
    <t>Boulevard Lilienthal 2</t>
  </si>
  <si>
    <t>Leier Forschung, Lehre und med. Qualität, Hirslanden Klinik Glattbrugg</t>
  </si>
  <si>
    <t xml:space="preserve">Melanie  </t>
  </si>
  <si>
    <t>Von Bresinski-Kraeft</t>
  </si>
  <si>
    <t>Stadtspital Zürich, Triemli</t>
  </si>
  <si>
    <t>Birmensdorferstrasse 497</t>
  </si>
  <si>
    <t>Fachbereichsleitung Pflege, Intensivstation, Stadtspital Zürich, Triemli</t>
  </si>
  <si>
    <t xml:space="preserve">Dirk </t>
  </si>
  <si>
    <t xml:space="preserve">Wiechmann </t>
  </si>
  <si>
    <t xml:space="preserve">Kantonsspital Winterthur </t>
  </si>
  <si>
    <t xml:space="preserve">Zentrum für Intensivmedizin </t>
  </si>
  <si>
    <t xml:space="preserve">Leitung Pflege Intensivstation </t>
  </si>
  <si>
    <t>Brauerstrasse 15</t>
  </si>
  <si>
    <t>Leitung Pflege Intensivstation, Zentrum für Intensivmedizin, Kantonsspital Winterthur</t>
  </si>
  <si>
    <t xml:space="preserve">Schmidt </t>
  </si>
  <si>
    <t xml:space="preserve">Zertifizierungskommission </t>
  </si>
  <si>
    <t xml:space="preserve">Senior Association Manager </t>
  </si>
  <si>
    <t>Senior Association Manager, Zertifizierungskommission ZK-IS, IMK AG, Basel</t>
  </si>
  <si>
    <t xml:space="preserve">Titel </t>
  </si>
  <si>
    <t>PLZ</t>
  </si>
  <si>
    <t>Handy</t>
  </si>
  <si>
    <t xml:space="preserve">Tel. Spital </t>
  </si>
  <si>
    <t xml:space="preserve">Kürzel </t>
  </si>
  <si>
    <t>Email</t>
  </si>
  <si>
    <t xml:space="preserve">Präsident  </t>
  </si>
  <si>
    <t xml:space="preserve">Prof. Dr. med. </t>
  </si>
  <si>
    <t xml:space="preserve">St. Gallen </t>
  </si>
  <si>
    <t>079 565 61 29</t>
  </si>
  <si>
    <t>071 494 15 05</t>
  </si>
  <si>
    <t>MF</t>
  </si>
  <si>
    <t>miodrag@filipovice@kssg.ch</t>
  </si>
  <si>
    <t>Past Präsident</t>
  </si>
  <si>
    <t xml:space="preserve">Prof. Dr. </t>
  </si>
  <si>
    <t>Aesch</t>
  </si>
  <si>
    <t>079 263 13 52</t>
  </si>
  <si>
    <t>HP</t>
  </si>
  <si>
    <t>hans.pargger@unibas.ch</t>
  </si>
  <si>
    <t xml:space="preserve">PD Dr. </t>
  </si>
  <si>
    <t xml:space="preserve">Zürich </t>
  </si>
  <si>
    <t>076 747 03 39</t>
  </si>
  <si>
    <t>044 255 35 82</t>
  </si>
  <si>
    <t>VC</t>
  </si>
  <si>
    <t>vincenzo.cannizzaro@usz.ch</t>
  </si>
  <si>
    <t xml:space="preserve">Vertretung Pflege </t>
  </si>
  <si>
    <t xml:space="preserve">Genf </t>
  </si>
  <si>
    <t>079 553 22 35</t>
  </si>
  <si>
    <t>022 372 77 38</t>
  </si>
  <si>
    <t>MC</t>
  </si>
  <si>
    <t>margrit.cohen@hcuge.ch</t>
  </si>
  <si>
    <t xml:space="preserve">Dr. </t>
  </si>
  <si>
    <t>079 351 12 74</t>
  </si>
  <si>
    <t xml:space="preserve">079 559 41 80 </t>
  </si>
  <si>
    <t>DD</t>
  </si>
  <si>
    <t>dumeng.decosterd@rhne.ch</t>
  </si>
  <si>
    <t>Präsidentin Pflege</t>
  </si>
  <si>
    <t>079 475 85 26</t>
  </si>
  <si>
    <t>071 243 71 03</t>
  </si>
  <si>
    <t>RD</t>
  </si>
  <si>
    <t>RuthJohanna.Dutler-Widmer@kispisg.ch</t>
  </si>
  <si>
    <t>Stellvertretung</t>
  </si>
  <si>
    <t xml:space="preserve">Muri </t>
  </si>
  <si>
    <t>079 686 30 04</t>
  </si>
  <si>
    <t>056 675 15 54</t>
  </si>
  <si>
    <t>RE</t>
  </si>
  <si>
    <t>Rolf.Ensner@spital-muri.ch</t>
  </si>
  <si>
    <t>Dr.</t>
  </si>
  <si>
    <t>Lausanne</t>
  </si>
  <si>
    <t>078 777 00 60</t>
  </si>
  <si>
    <t>021 310 57 61</t>
  </si>
  <si>
    <t>IF</t>
  </si>
  <si>
    <t>isabelle.fleisch@hirslanden.ch</t>
  </si>
  <si>
    <t>Sion</t>
  </si>
  <si>
    <t>079 473 75 24</t>
  </si>
  <si>
    <t>027 603 46 30</t>
  </si>
  <si>
    <t>RF</t>
  </si>
  <si>
    <t>raymond.friolet@hopitalvs.ch</t>
  </si>
  <si>
    <t xml:space="preserve">Bern </t>
  </si>
  <si>
    <t>079 357 33 45</t>
  </si>
  <si>
    <t>031 632 29 61</t>
  </si>
  <si>
    <t xml:space="preserve">BH </t>
  </si>
  <si>
    <t>brigitte.haemmerli@insel.ch</t>
  </si>
  <si>
    <t>079 669 95 59</t>
  </si>
  <si>
    <t>031 335 38 42</t>
  </si>
  <si>
    <t>RK</t>
  </si>
  <si>
    <t>rafael.knuesel@hirslanden.ch</t>
  </si>
  <si>
    <t xml:space="preserve">Biel </t>
  </si>
  <si>
    <t>079 752 39 66</t>
  </si>
  <si>
    <t>032 324 16 53</t>
  </si>
  <si>
    <t>ML</t>
  </si>
  <si>
    <t>marcus.laube@szb-chb.ch</t>
  </si>
  <si>
    <t xml:space="preserve">Basel </t>
  </si>
  <si>
    <t>079 417 49 12</t>
  </si>
  <si>
    <t>061 265 52 55</t>
  </si>
  <si>
    <t>AL</t>
  </si>
  <si>
    <t>angelika.lehmann@usb.ch</t>
  </si>
  <si>
    <t>Locarno</t>
  </si>
  <si>
    <t>078 712 36 04</t>
  </si>
  <si>
    <t>AP</t>
  </si>
  <si>
    <t>alessandra.pedrazzini@eoc.ch</t>
  </si>
  <si>
    <t>Vertretung Pflege</t>
  </si>
  <si>
    <t>079 787 23 94</t>
  </si>
  <si>
    <t>044 255 37 69</t>
  </si>
  <si>
    <t>IP</t>
  </si>
  <si>
    <t>irene.penker@usz.ch</t>
  </si>
  <si>
    <t xml:space="preserve">Bellinzona </t>
  </si>
  <si>
    <t>079 643 41 30</t>
  </si>
  <si>
    <t>091 811 80 72</t>
  </si>
  <si>
    <t>MP</t>
  </si>
  <si>
    <t>marco.previsdomini@eoc.ch</t>
  </si>
  <si>
    <t xml:space="preserve">Luzern </t>
  </si>
  <si>
    <t>079 543 89 53</t>
  </si>
  <si>
    <t>041 208 39 03</t>
  </si>
  <si>
    <t xml:space="preserve">felix.reichlin@hirslanden.ch </t>
  </si>
  <si>
    <t xml:space="preserve">079 506 25 78 </t>
  </si>
  <si>
    <t>044 255 10 92</t>
  </si>
  <si>
    <t>RAS</t>
  </si>
  <si>
    <t>Reto.Schuepbach@usz.ch</t>
  </si>
  <si>
    <t>079 732 05 52</t>
  </si>
  <si>
    <t>026 306 32 12</t>
  </si>
  <si>
    <t>GS</t>
  </si>
  <si>
    <t>govind.sridharan@h-fr.ch</t>
  </si>
  <si>
    <t>Prof. Dr.</t>
  </si>
  <si>
    <t>Glattpark</t>
  </si>
  <si>
    <t>079 402 40 61</t>
  </si>
  <si>
    <t>044 387 95 50</t>
  </si>
  <si>
    <t>RS</t>
  </si>
  <si>
    <t>reto.stocker@hirslanden.ch</t>
  </si>
  <si>
    <t>076 467 55 61</t>
  </si>
  <si>
    <t>MV</t>
  </si>
  <si>
    <t>Melanie.vonBresinski-Kraeft@stadtspital.ch</t>
  </si>
  <si>
    <t xml:space="preserve">Winterthur </t>
  </si>
  <si>
    <t>079 416 01 59</t>
  </si>
  <si>
    <t>052 266 50 03</t>
  </si>
  <si>
    <t>DW</t>
  </si>
  <si>
    <t>dirk.wiechmann@ksw.ch</t>
  </si>
  <si>
    <t>Fachausbildung</t>
  </si>
  <si>
    <t>Funktion</t>
  </si>
  <si>
    <t>Vorname Name</t>
  </si>
  <si>
    <t>Experte 1</t>
  </si>
  <si>
    <t>Experte 2</t>
  </si>
  <si>
    <t>Experte 3</t>
  </si>
  <si>
    <t>Daten werden übernommen: bitte zuerst im Reiter 4b Visitation eingeben !</t>
  </si>
  <si>
    <t>Objet</t>
  </si>
  <si>
    <t xml:space="preserve">Visite de certification - </t>
  </si>
  <si>
    <t>$$$$</t>
  </si>
  <si>
    <t>$$$</t>
  </si>
  <si>
    <t>Début:</t>
  </si>
  <si>
    <t>Kleine Korrekturen</t>
  </si>
  <si>
    <t>4aExp-ZK</t>
  </si>
  <si>
    <t>text Mail</t>
  </si>
  <si>
    <t>Einfügen eines Standardtexts für Mail Planung Visitation</t>
  </si>
  <si>
    <t>4b Visitation</t>
  </si>
  <si>
    <t>Namen&amp;Funktionen</t>
  </si>
  <si>
    <t>Einfügen automatisches Einfüllen von Funktion der Experten</t>
  </si>
  <si>
    <t>4c PlanVisit.</t>
  </si>
  <si>
    <t>Namen Experten</t>
  </si>
  <si>
    <t>Namen der vorgesehenen Experten eingefügt</t>
  </si>
  <si>
    <t>Schutz</t>
  </si>
  <si>
    <t>Schutz zellen, aber mit copy-Möglichkeit</t>
  </si>
  <si>
    <t>Mail für die Zusendung des Plans - Text kann kopiert und dann z.B. in Outlook adaptiert werden</t>
  </si>
  <si>
    <t>Mail pour l'envoi du plan - le texte peut être copié puis adapté dans Outlook ou autre</t>
  </si>
  <si>
    <t>Einfügen von kopiertem Text aus einer alten Version  ist möglich in in einzelne Zellen: Doppelklick auf die Zelle, dann einfügen.</t>
  </si>
  <si>
    <t>Il est possible d'insérer du texte copié à partir d'une ancienne version  dans des cellules individuelles : double-cliquez sur la cellule, puis collez.</t>
  </si>
  <si>
    <t>Deutsch:</t>
  </si>
  <si>
    <t>Allemand:</t>
  </si>
  <si>
    <t>Französisch:</t>
  </si>
  <si>
    <t>Français:</t>
  </si>
  <si>
    <t>Tip: copy-paste</t>
  </si>
  <si>
    <t>Astuce: copie-coller</t>
  </si>
  <si>
    <t>Avant de remplir le formulaire, veuillez lire attentivement les remarques figurant sur l'onglet PROZEDUR.</t>
  </si>
  <si>
    <t>B9-G12</t>
  </si>
  <si>
    <t>Eingefügt: Erklärung bezüglich alter Versionen, copy-paste</t>
  </si>
  <si>
    <t>E6</t>
  </si>
  <si>
    <t>Bitte um Durchlesen PROZEDUR</t>
  </si>
  <si>
    <t>Die Stationsleitung wird gebeten, alle blauen Felder (Spalte B, C, D) von oben nach unten nacheinander auszufüllen. Bitte die Erläuterungen in der Spalte E beachten.</t>
  </si>
  <si>
    <t>Les responsables d'unité sont priés de remplir les cellules bleues (Colonnes B, C, D), en commencant en haut. Veuillez lire les explications dans la colonne E.</t>
  </si>
  <si>
    <t>E1</t>
  </si>
  <si>
    <t>Eingefügt: "Bitte die Erläuterungen in der Spalte E beachten."</t>
  </si>
  <si>
    <t>Datenübernahme, auto</t>
  </si>
  <si>
    <t>Expertennamen &amp; deren Funktion</t>
  </si>
  <si>
    <t>Les données sont reprises : veuillez d'abord les saisir dans l'onglet 4b Visitation !</t>
  </si>
  <si>
    <t>Les experts suivants sont prévus pour cette visite :</t>
  </si>
  <si>
    <t>Für diese Visitation sind folgende Experten geplant:</t>
  </si>
  <si>
    <t>Daten werden übernommen : zuerst  Datum/Zeit Visitation im Reiter 4bVisitation eingeben.</t>
  </si>
  <si>
    <t>Les données sont reprises : saisir d'abord la date/l'heure de la visite dans l'onglet  4bVisitation.</t>
  </si>
  <si>
    <t>Name Reiter Excel</t>
  </si>
  <si>
    <t>Bitte der Datei den unten genrierten Namen geben (copy hier -paste direkt in Dateiname).
Bei Fehlern: Reiter 1 ANTRAG kontrollieren.</t>
  </si>
  <si>
    <t>A/E 138</t>
  </si>
  <si>
    <t>B/C9</t>
  </si>
  <si>
    <t>Datum Version</t>
  </si>
  <si>
    <t>Hinzufügung des Datums des letzten excel-Version (muss manuel eingegeben werden)</t>
  </si>
  <si>
    <t xml:space="preserve">Excel-Version : </t>
  </si>
  <si>
    <t>Bitte vor dem Ausfüllen des Antrags die Anmerkungen im Reiter PROZEDUR gut durchlesen.</t>
  </si>
  <si>
    <t>Ende des Formulars. Der Antrag kann nun als pdf gespeichert (Dateiname s. Reiter PROZEDUR) und zur Unterschrift ausgedruckt werden.</t>
  </si>
  <si>
    <t>Lien vers la version la plus récente: cf. onglet PROZEDUR</t>
  </si>
  <si>
    <t>Link zur neuesten Version: s. Reiter PROZEDUR</t>
  </si>
  <si>
    <t>Prozedere für IMK</t>
  </si>
  <si>
    <t>Datum Excel-Version korrekt ?</t>
  </si>
  <si>
    <t>Excel zeigt bei Öffnen den Reiter PROZEDUR an ?</t>
  </si>
  <si>
    <t>Falls nicht: speichern, nachdem dieser Reiter ausgwählt ist.</t>
  </si>
  <si>
    <t>Beim Öffnen des Antrags steht der Cursor in der 1. blauen Zelle oben, die folgenden Zeilen drunter sind sichtbar.</t>
  </si>
  <si>
    <t>Beim Öffnen Autodeklaration steht der Cursor in der 1. bleuen Zelle oben, die folgenden Zeilen drunter sind sichtbar.</t>
  </si>
  <si>
    <t>Reiter, die nicht für Station sind, versteckt ?</t>
  </si>
  <si>
    <t>0 PROZEDUR</t>
  </si>
  <si>
    <t>0-1-2-3; 4abcd</t>
  </si>
  <si>
    <t>Alle Reiter für Station und Experten mit Password schreibgeschützt ?</t>
  </si>
  <si>
    <t>File-Format mit Password schreibgeschützt ?</t>
  </si>
  <si>
    <t>Verhindert, dass man die versteckten Reiter sichtbar machen kann.</t>
  </si>
  <si>
    <t>7</t>
  </si>
  <si>
    <t>ALLE ausser: 0-1-2-3</t>
  </si>
  <si>
    <t>Nach verstecken des 1. kann man den nächsten per CTRL+y machen.</t>
  </si>
  <si>
    <t>8</t>
  </si>
  <si>
    <t>Änderungen beschreiben</t>
  </si>
  <si>
    <t>Historik Version</t>
  </si>
  <si>
    <t>EXCEL - Prozedere für IMK</t>
  </si>
  <si>
    <t>Am einfachsten: Zelle anklicken, einmal ENTER, und nochmals Zelle anklicken.</t>
  </si>
  <si>
    <t>Autodeklaration vollständig ausgefüllt ?</t>
  </si>
  <si>
    <t>Kurze Kontrolle:  Daten Station (Namen, Anzahl Betten)</t>
  </si>
  <si>
    <t>Allgemeneine Kontrolle: alles ok ?</t>
  </si>
  <si>
    <t>Vor Sendungen an Experten / Aufschalten eines ausgefüllten Antrags</t>
  </si>
  <si>
    <t>File-Format Passwortschutz entfernen</t>
  </si>
  <si>
    <t>4a-d</t>
  </si>
  <si>
    <t>File-Format wieder mit Password schützten</t>
  </si>
  <si>
    <t>Reiter für Experten sichtbar machen / anzeigen</t>
  </si>
  <si>
    <t>Vor Aufschalten einer neuen excel-Version auf die offizielle Webseite</t>
  </si>
  <si>
    <t>Kann im File-Info eingesehen werden, oder jeden Reiter einzeln kontrollieren.</t>
  </si>
  <si>
    <t>Neuer Reiter</t>
  </si>
  <si>
    <t>s.o.</t>
  </si>
  <si>
    <t>Anschliessend sollten alle Reiter, 0-4, sichtbar sein.</t>
  </si>
  <si>
    <t>Reiter umbenannt</t>
  </si>
  <si>
    <t>Vorstellen "0", damit sind alle Reiter für Station und Experten numeriert.</t>
  </si>
  <si>
    <t>Liebe Kolleginnen und Kollegen,
der Besuch zur Zertifizierung Ihrer Intensivstation ist wie mit Ihnen vereinbart geplant. Anbei das Programm mit dem Ablauf der Visitation.
Wir bitten Sie, einen ausreichend großen Raum für die gesamte Dauer des Besuchs zu reservieren und Ihre Geschäftsleitung für die sie betreffenden Teile zu informieren.
Um uns die Arbeit zu erleichtern, wäre es nett, wenn Sie uns noch eine Liste aller Teilnehmer (Vorname - Nachname - Funktion) zusenden könnten (per E-Mail, wenn möglich vor dem Besuch).
Ihre Unterlagen enthalten alle wichtigen Elemente, die während des Besuchs besprochen werden. Wenn zusätzliche Elemente erforderlich sind, werden wir Sie darüber informieren.
Für weitere Informationen stehe ich Ihnen gerne zur Verfügung. Mit freundlichen Grüßen,
Unterschrift</t>
  </si>
  <si>
    <t>Chers collègues,
La visite de certification de votre unité de soins intensifs est prévu, comme convenu avec vous. Ci-joint le plan de la visite.
Nous vous prions de bien prévoir une salle assez grande pour toute la durée de la visite, et de prévenir les membres de votre direction pour les parties qui les concernent.
Pour nous faciliter le travail, ça sera gentil de nous faire parvenir encore une liste de tous les participants (Prénom - Nom - Fonction; par simple mail retour, si possible avant la visite).
Votre dossier contient tous les éléments clefs qui seront discutés pendant la visite. Si des éléments supplémentaires sont requis nous vous le ferons savoir.
En restant à disposition pour tout autre renseignement, je vous transmets mes meilleures salutations,
signature</t>
  </si>
  <si>
    <t>Antrag auf Zertifizierung</t>
  </si>
  <si>
    <t>Datum Antrag Zertifizierung</t>
  </si>
  <si>
    <t>Datum der letzten Zertifizierung /Visitation</t>
  </si>
  <si>
    <t>Zertifikation ersetzt durch Zertifizierung  -  jetzt ist Hans im Glück  :)</t>
  </si>
  <si>
    <t xml:space="preserve">Zertifizierung - Visitation - </t>
  </si>
  <si>
    <t>NEUZERTIFIZIERUNG</t>
  </si>
  <si>
    <t>REZERTIFIZIERUNG</t>
  </si>
  <si>
    <t>Grund des Antrags auf Zertifizierung</t>
  </si>
  <si>
    <t>Gefordete % für Zertifizierung ohne Auflagen</t>
  </si>
  <si>
    <t>Zertifizierung für die Anzahl der beantragten Betten</t>
  </si>
  <si>
    <t>Zertifizierung der Station:</t>
  </si>
  <si>
    <t>Auflagen (leerlassen falls Zertifizierung NEIN) ?</t>
  </si>
  <si>
    <t>mehrere</t>
  </si>
  <si>
    <t>Linie 225-7</t>
  </si>
  <si>
    <t>Format/Formeln</t>
  </si>
  <si>
    <t>Kleine Korrektur</t>
  </si>
  <si>
    <t>ZK_IS_Antrag_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</si>
</sst>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_)\ _C_H_F_ ;_ * \(#,##0\)\ _C_H_F_ ;_ * &quot;-&quot;_)\ _C_H_F_ ;_ @_ "/>
    <numFmt numFmtId="165" formatCode="_ * #,##0.00_)\ _C_H_F_ ;_ * \(#,##0.00\)\ _C_H_F_ ;_ * &quot;-&quot;??_)\ _C_H_F_ ;_ @_ "/>
    <numFmt numFmtId="166" formatCode="dd/mm/yyyy;@"/>
    <numFmt numFmtId="167" formatCode="_ * #,##0_)\ _C_H_F_ ;_ * \(#,##0\)\ _C_H_F_ ;_ * &quot;-&quot;??_)\ _C_H_F_ ;_ @_ "/>
    <numFmt numFmtId="168" formatCode="0.0"/>
    <numFmt numFmtId="169" formatCode="0.0%"/>
    <numFmt numFmtId="170" formatCode="mmm/yyyy"/>
    <numFmt numFmtId="171" formatCode="#,##0.0"/>
    <numFmt numFmtId="172" formatCode="#\ ##0"/>
    <numFmt numFmtId="173" formatCode="_ * #,##0.0_)\ _C_H_F_ ;_ * \(#,##0.0\)\ _C_H_F_ ;_ * &quot;-&quot;?_)\ _C_H_F_ ;_ @_ "/>
    <numFmt numFmtId="174" formatCode="hh/mm&quot; h&quot;;@"/>
    <numFmt numFmtId="175" formatCode="0.000"/>
  </numFmts>
  <fonts count="279">
    <font>
      <sz val="12"/>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b/>
      <sz val="10"/>
      <name val="Arial"/>
      <family val="2"/>
    </font>
    <font>
      <sz val="10"/>
      <name val="Arial"/>
      <family val="2"/>
    </font>
    <font>
      <b/>
      <sz val="12"/>
      <name val="Arial"/>
      <family val="2"/>
    </font>
    <font>
      <sz val="11"/>
      <name val="Arial"/>
      <family val="2"/>
    </font>
    <font>
      <sz val="12"/>
      <name val="Arial"/>
      <family val="2"/>
    </font>
    <font>
      <u/>
      <sz val="10"/>
      <name val="Arial"/>
      <family val="2"/>
    </font>
    <font>
      <sz val="9"/>
      <name val="Arial"/>
      <family val="2"/>
    </font>
    <font>
      <b/>
      <sz val="11"/>
      <name val="Arial"/>
      <family val="2"/>
    </font>
    <font>
      <b/>
      <sz val="9"/>
      <name val="Arial"/>
      <family val="2"/>
    </font>
    <font>
      <b/>
      <sz val="12"/>
      <color rgb="FF000000"/>
      <name val="Arial"/>
      <family val="2"/>
    </font>
    <font>
      <b/>
      <sz val="12"/>
      <color rgb="FF17365D"/>
      <name val="Arial"/>
      <family val="2"/>
    </font>
    <font>
      <b/>
      <sz val="12"/>
      <color theme="1"/>
      <name val="Arial"/>
      <family val="2"/>
    </font>
    <font>
      <b/>
      <sz val="11"/>
      <color theme="1"/>
      <name val="Arial"/>
      <family val="2"/>
    </font>
    <font>
      <sz val="10"/>
      <color rgb="FF000000"/>
      <name val="Arial"/>
      <family val="2"/>
    </font>
    <font>
      <sz val="10"/>
      <color theme="1"/>
      <name val="Arial"/>
      <family val="2"/>
    </font>
    <font>
      <b/>
      <sz val="10"/>
      <color theme="1"/>
      <name val="Arial"/>
      <family val="2"/>
    </font>
    <font>
      <sz val="10"/>
      <color rgb="FFFF0000"/>
      <name val="Arial"/>
      <family val="2"/>
    </font>
    <font>
      <b/>
      <sz val="12"/>
      <color rgb="FFC00000"/>
      <name val="Arial"/>
      <family val="2"/>
    </font>
    <font>
      <sz val="12"/>
      <color theme="1"/>
      <name val="Arial"/>
      <family val="2"/>
    </font>
    <font>
      <sz val="11"/>
      <color theme="1"/>
      <name val="Arial"/>
      <family val="2"/>
    </font>
    <font>
      <sz val="14"/>
      <color theme="1"/>
      <name val="Arial"/>
      <family val="2"/>
    </font>
    <font>
      <sz val="12"/>
      <color theme="1"/>
      <name val="Cambria"/>
      <family val="1"/>
    </font>
    <font>
      <b/>
      <sz val="12"/>
      <color theme="1"/>
      <name val="Cambria"/>
      <family val="1"/>
    </font>
    <font>
      <b/>
      <sz val="10"/>
      <color rgb="FF000000"/>
      <name val="Arial"/>
      <family val="2"/>
    </font>
    <font>
      <sz val="12"/>
      <color rgb="FF000000"/>
      <name val="Arial"/>
      <family val="2"/>
    </font>
    <font>
      <b/>
      <sz val="12"/>
      <color rgb="FF00B050"/>
      <name val="Arial"/>
      <family val="2"/>
    </font>
    <font>
      <b/>
      <sz val="10"/>
      <color rgb="FFC00000"/>
      <name val="Arial"/>
      <family val="2"/>
    </font>
    <font>
      <b/>
      <sz val="10"/>
      <color rgb="FF00B050"/>
      <name val="Arial"/>
      <family val="2"/>
    </font>
    <font>
      <b/>
      <sz val="11"/>
      <color rgb="FFC00000"/>
      <name val="Calibri"/>
      <family val="2"/>
    </font>
    <font>
      <b/>
      <sz val="12"/>
      <color rgb="FFFF0000"/>
      <name val="Arial"/>
      <family val="2"/>
    </font>
    <font>
      <sz val="12"/>
      <color rgb="FF00B050"/>
      <name val="Arial"/>
      <family val="2"/>
    </font>
    <font>
      <sz val="10"/>
      <color rgb="FF00B050"/>
      <name val="Arial"/>
      <family val="2"/>
    </font>
    <font>
      <b/>
      <sz val="11"/>
      <color rgb="FF00B050"/>
      <name val="Calibri"/>
      <family val="2"/>
    </font>
    <font>
      <b/>
      <sz val="11"/>
      <color rgb="FFC00000"/>
      <name val="Arial"/>
      <family val="2"/>
    </font>
    <font>
      <b/>
      <sz val="14"/>
      <color theme="1"/>
      <name val="Arial"/>
      <family val="2"/>
    </font>
    <font>
      <sz val="8"/>
      <color theme="1"/>
      <name val="Arial"/>
      <family val="2"/>
    </font>
    <font>
      <b/>
      <sz val="9"/>
      <color rgb="FF000000"/>
      <name val="Arial"/>
      <family val="2"/>
    </font>
    <font>
      <b/>
      <sz val="10"/>
      <color rgb="FFFF0000"/>
      <name val="Arial"/>
      <family val="2"/>
    </font>
    <font>
      <sz val="10"/>
      <color theme="1"/>
      <name val="Arial"/>
      <family val="2"/>
    </font>
    <font>
      <sz val="8"/>
      <color theme="1"/>
      <name val="Arial"/>
      <family val="2"/>
    </font>
    <font>
      <b/>
      <sz val="12"/>
      <color theme="1"/>
      <name val="Arial"/>
      <family val="2"/>
    </font>
    <font>
      <b/>
      <sz val="14"/>
      <color theme="1"/>
      <name val="Arial"/>
      <family val="2"/>
    </font>
    <font>
      <b/>
      <sz val="12"/>
      <color rgb="FF17365D"/>
      <name val="Arial"/>
      <family val="2"/>
    </font>
    <font>
      <sz val="12"/>
      <color theme="1"/>
      <name val="Arial"/>
      <family val="2"/>
    </font>
    <font>
      <sz val="11"/>
      <color theme="1"/>
      <name val="Arial"/>
      <family val="2"/>
    </font>
    <font>
      <b/>
      <sz val="11"/>
      <color theme="1"/>
      <name val="Arial"/>
      <family val="2"/>
    </font>
    <font>
      <b/>
      <sz val="10"/>
      <color rgb="FFC00000"/>
      <name val="Arial"/>
      <family val="2"/>
    </font>
    <font>
      <b/>
      <sz val="10"/>
      <color rgb="FF00B050"/>
      <name val="Arial"/>
      <family val="2"/>
    </font>
    <font>
      <sz val="14"/>
      <color theme="1"/>
      <name val="Arial"/>
      <family val="2"/>
    </font>
    <font>
      <b/>
      <sz val="10"/>
      <color theme="1"/>
      <name val="Arial"/>
      <family val="2"/>
    </font>
    <font>
      <sz val="10"/>
      <color rgb="FF00B050"/>
      <name val="Arial"/>
      <family val="2"/>
    </font>
    <font>
      <b/>
      <sz val="11"/>
      <color rgb="FFC00000"/>
      <name val="Arial"/>
      <family val="2"/>
    </font>
    <font>
      <sz val="8"/>
      <name val="Calibri"/>
      <family val="2"/>
      <scheme val="minor"/>
    </font>
    <font>
      <u/>
      <sz val="12"/>
      <color theme="10"/>
      <name val="Calibri"/>
      <family val="2"/>
      <scheme val="minor"/>
    </font>
    <font>
      <u/>
      <sz val="12"/>
      <color theme="11"/>
      <name val="Calibri"/>
      <family val="2"/>
      <scheme val="minor"/>
    </font>
    <font>
      <b/>
      <sz val="14"/>
      <color rgb="FF000000"/>
      <name val="Arial"/>
      <family val="2"/>
    </font>
    <font>
      <sz val="14"/>
      <color rgb="FF000000"/>
      <name val="Arial"/>
      <family val="2"/>
    </font>
    <font>
      <sz val="14"/>
      <color theme="1"/>
      <name val="Cambria"/>
      <family val="1"/>
    </font>
    <font>
      <sz val="12"/>
      <color theme="1"/>
      <name val="Calibri"/>
      <family val="2"/>
      <scheme val="minor"/>
    </font>
    <font>
      <sz val="14"/>
      <color rgb="FF000000"/>
      <name val="Arial"/>
      <family val="2"/>
    </font>
    <font>
      <sz val="12"/>
      <color rgb="FF000000"/>
      <name val="Arial"/>
      <family val="2"/>
    </font>
    <font>
      <sz val="11"/>
      <color rgb="FF000000"/>
      <name val="Arial"/>
      <family val="2"/>
    </font>
    <font>
      <sz val="10"/>
      <color rgb="FFC00000"/>
      <name val="Arial"/>
      <family val="2"/>
    </font>
    <font>
      <sz val="7"/>
      <color theme="1"/>
      <name val="Arial"/>
      <family val="2"/>
    </font>
    <font>
      <b/>
      <sz val="11"/>
      <color rgb="FF00B050"/>
      <name val="Arial"/>
      <family val="2"/>
    </font>
    <font>
      <i/>
      <sz val="10"/>
      <color theme="1"/>
      <name val="Arial"/>
      <family val="2"/>
    </font>
    <font>
      <sz val="14"/>
      <color rgb="FFFF0000"/>
      <name val="Arial"/>
      <family val="2"/>
    </font>
    <font>
      <b/>
      <i/>
      <sz val="12"/>
      <color theme="6" tint="-0.499984740745262"/>
      <name val="Arial"/>
      <family val="2"/>
    </font>
    <font>
      <b/>
      <sz val="12"/>
      <color theme="1"/>
      <name val="Calibri"/>
      <family val="2"/>
      <scheme val="minor"/>
    </font>
    <font>
      <b/>
      <sz val="8"/>
      <color rgb="FFC00000"/>
      <name val="Arial"/>
      <family val="2"/>
    </font>
    <font>
      <b/>
      <sz val="8"/>
      <color rgb="FF00B050"/>
      <name val="Arial"/>
      <family val="2"/>
    </font>
    <font>
      <i/>
      <sz val="12"/>
      <color rgb="FF000000"/>
      <name val="Arial"/>
      <family val="2"/>
    </font>
    <font>
      <b/>
      <i/>
      <sz val="10"/>
      <color theme="1"/>
      <name val="Arial"/>
      <family val="2"/>
    </font>
    <font>
      <b/>
      <i/>
      <sz val="11"/>
      <color theme="1"/>
      <name val="Arial"/>
      <family val="2"/>
    </font>
    <font>
      <b/>
      <sz val="8"/>
      <color theme="1"/>
      <name val="Arial"/>
      <family val="2"/>
    </font>
    <font>
      <b/>
      <i/>
      <sz val="10"/>
      <color theme="5" tint="-0.249977111117893"/>
      <name val="Arial"/>
      <family val="2"/>
    </font>
    <font>
      <b/>
      <sz val="8"/>
      <name val="Arial"/>
      <family val="2"/>
    </font>
    <font>
      <b/>
      <sz val="9"/>
      <color rgb="FFC00000"/>
      <name val="Arial"/>
      <family val="2"/>
    </font>
    <font>
      <b/>
      <sz val="9"/>
      <color rgb="FF00B050"/>
      <name val="Arial"/>
      <family val="2"/>
    </font>
    <font>
      <sz val="5"/>
      <color theme="1"/>
      <name val="Arial"/>
      <family val="2"/>
    </font>
    <font>
      <vertAlign val="superscript"/>
      <sz val="10"/>
      <name val="Arial"/>
      <family val="2"/>
    </font>
    <font>
      <vertAlign val="subscript"/>
      <sz val="10"/>
      <name val="Arial"/>
      <family val="2"/>
    </font>
    <font>
      <sz val="7"/>
      <name val="Arial"/>
      <family val="2"/>
    </font>
    <font>
      <sz val="8"/>
      <name val="Arial"/>
      <family val="2"/>
    </font>
    <font>
      <sz val="12"/>
      <name val="Cambria"/>
      <family val="1"/>
    </font>
    <font>
      <b/>
      <sz val="12"/>
      <name val="Cambria"/>
      <family val="1"/>
    </font>
    <font>
      <sz val="9"/>
      <color theme="1"/>
      <name val="Arial"/>
      <family val="2"/>
    </font>
    <font>
      <sz val="6"/>
      <name val="Arial"/>
      <family val="2"/>
    </font>
    <font>
      <sz val="9"/>
      <color indexed="81"/>
      <name val="Tahoma"/>
      <family val="2"/>
    </font>
    <font>
      <b/>
      <sz val="14"/>
      <color rgb="FFC00000"/>
      <name val="Arial"/>
      <family val="2"/>
    </font>
    <font>
      <b/>
      <sz val="14"/>
      <color rgb="FF00B050"/>
      <name val="Arial"/>
      <family val="2"/>
    </font>
    <font>
      <sz val="14"/>
      <color rgb="FF00B050"/>
      <name val="Arial"/>
      <family val="2"/>
    </font>
    <font>
      <b/>
      <sz val="8"/>
      <color theme="8" tint="-0.249977111117893"/>
      <name val="Arial"/>
      <family val="2"/>
    </font>
    <font>
      <b/>
      <sz val="16"/>
      <color theme="1"/>
      <name val="Arial"/>
      <family val="2"/>
    </font>
    <font>
      <b/>
      <sz val="14"/>
      <color theme="3" tint="-0.249977111117893"/>
      <name val="Arial"/>
      <family val="2"/>
    </font>
    <font>
      <sz val="6"/>
      <color theme="1"/>
      <name val="Arial"/>
      <family val="2"/>
    </font>
    <font>
      <b/>
      <sz val="6"/>
      <color theme="1"/>
      <name val="Arial"/>
      <family val="2"/>
    </font>
    <font>
      <b/>
      <i/>
      <sz val="11"/>
      <color theme="6" tint="-0.499984740745262"/>
      <name val="Arial"/>
      <family val="2"/>
    </font>
    <font>
      <i/>
      <sz val="11"/>
      <color theme="1"/>
      <name val="Arial"/>
      <family val="2"/>
    </font>
    <font>
      <sz val="11"/>
      <color theme="1"/>
      <name val="Cambria"/>
      <family val="1"/>
    </font>
    <font>
      <b/>
      <sz val="11"/>
      <color theme="1"/>
      <name val="Cambria"/>
      <family val="1"/>
    </font>
    <font>
      <b/>
      <sz val="11"/>
      <color rgb="FF000000"/>
      <name val="Arial"/>
      <family val="2"/>
    </font>
    <font>
      <sz val="6"/>
      <color theme="1"/>
      <name val="Calibri"/>
      <family val="2"/>
      <scheme val="minor"/>
    </font>
    <font>
      <b/>
      <sz val="10"/>
      <color theme="3" tint="-0.249977111117893"/>
      <name val="Arial"/>
      <family val="2"/>
    </font>
    <font>
      <sz val="8"/>
      <color theme="1"/>
      <name val="Calibri"/>
      <family val="2"/>
      <scheme val="minor"/>
    </font>
    <font>
      <u/>
      <sz val="8"/>
      <name val="Arial"/>
      <family val="2"/>
    </font>
    <font>
      <b/>
      <sz val="9"/>
      <color theme="1"/>
      <name val="Arial"/>
      <family val="2"/>
    </font>
    <font>
      <b/>
      <sz val="18"/>
      <color theme="1"/>
      <name val="Arial"/>
      <family val="2"/>
    </font>
    <font>
      <sz val="14"/>
      <name val="Arial"/>
      <family val="2"/>
    </font>
    <font>
      <sz val="9"/>
      <color theme="1"/>
      <name val="Calibri"/>
      <family val="2"/>
      <scheme val="minor"/>
    </font>
    <font>
      <b/>
      <i/>
      <sz val="12"/>
      <color theme="1"/>
      <name val="Calibri"/>
      <family val="2"/>
      <scheme val="minor"/>
    </font>
    <font>
      <b/>
      <u/>
      <sz val="14"/>
      <color theme="1"/>
      <name val="Arial"/>
      <family val="2"/>
    </font>
    <font>
      <b/>
      <sz val="22"/>
      <color rgb="FFFF0000"/>
      <name val="Arial"/>
      <family val="2"/>
    </font>
    <font>
      <i/>
      <sz val="12"/>
      <color theme="1"/>
      <name val="Arial"/>
      <family val="2"/>
    </font>
    <font>
      <sz val="12"/>
      <color rgb="FFFF0000"/>
      <name val="Arial"/>
      <family val="2"/>
    </font>
    <font>
      <b/>
      <sz val="14"/>
      <color theme="8" tint="-0.499984740745262"/>
      <name val="Arial"/>
      <family val="2"/>
    </font>
    <font>
      <b/>
      <sz val="8"/>
      <color theme="1"/>
      <name val="Calibri"/>
      <family val="2"/>
      <scheme val="minor"/>
    </font>
    <font>
      <b/>
      <sz val="8"/>
      <color theme="1"/>
      <name val="Calibri"/>
      <family val="2"/>
    </font>
    <font>
      <b/>
      <i/>
      <sz val="12"/>
      <color theme="1"/>
      <name val="Arial"/>
      <family val="2"/>
    </font>
    <font>
      <b/>
      <sz val="12"/>
      <color theme="5" tint="-0.249977111117893"/>
      <name val="Arial"/>
      <family val="2"/>
    </font>
    <font>
      <b/>
      <sz val="14"/>
      <color theme="5" tint="-0.249977111117893"/>
      <name val="Arial"/>
      <family val="2"/>
    </font>
    <font>
      <sz val="28"/>
      <color theme="5" tint="-0.249977111117893"/>
      <name val="Arial"/>
      <family val="2"/>
    </font>
    <font>
      <b/>
      <sz val="18"/>
      <color theme="5" tint="-0.249977111117893"/>
      <name val="Arial"/>
      <family val="2"/>
    </font>
    <font>
      <b/>
      <i/>
      <sz val="16"/>
      <color theme="5" tint="-0.249977111117893"/>
      <name val="Arial"/>
      <family val="2"/>
    </font>
    <font>
      <b/>
      <sz val="10"/>
      <color theme="1"/>
      <name val="Calibri"/>
      <family val="2"/>
      <scheme val="minor"/>
    </font>
    <font>
      <b/>
      <u/>
      <sz val="12"/>
      <color theme="1"/>
      <name val="Calibri"/>
      <family val="2"/>
      <scheme val="minor"/>
    </font>
    <font>
      <b/>
      <sz val="16"/>
      <color theme="5" tint="-0.249977111117893"/>
      <name val="Arial"/>
      <family val="2"/>
    </font>
    <font>
      <b/>
      <sz val="14"/>
      <name val="Arial"/>
      <family val="2"/>
    </font>
    <font>
      <b/>
      <sz val="11"/>
      <color theme="5" tint="-0.249977111117893"/>
      <name val="Arial"/>
      <family val="2"/>
    </font>
    <font>
      <i/>
      <sz val="11"/>
      <color theme="5" tint="-0.249977111117893"/>
      <name val="Arial"/>
      <family val="2"/>
    </font>
    <font>
      <b/>
      <i/>
      <sz val="14"/>
      <color theme="5" tint="-0.249977111117893"/>
      <name val="Arial"/>
      <family val="2"/>
    </font>
    <font>
      <b/>
      <i/>
      <sz val="16"/>
      <name val="Arial"/>
      <family val="2"/>
    </font>
    <font>
      <b/>
      <i/>
      <sz val="12"/>
      <name val="Arial"/>
      <family val="2"/>
    </font>
    <font>
      <b/>
      <sz val="7"/>
      <name val="Arial"/>
      <family val="2"/>
    </font>
    <font>
      <b/>
      <sz val="7"/>
      <color rgb="FF17365D"/>
      <name val="Arial"/>
      <family val="2"/>
    </font>
    <font>
      <b/>
      <sz val="7"/>
      <color theme="1"/>
      <name val="Arial"/>
      <family val="2"/>
    </font>
    <font>
      <b/>
      <i/>
      <sz val="7"/>
      <color theme="5" tint="-0.249977111117893"/>
      <name val="Arial"/>
      <family val="2"/>
    </font>
    <font>
      <sz val="7"/>
      <color rgb="FF000000"/>
      <name val="Arial"/>
      <family val="2"/>
    </font>
    <font>
      <b/>
      <sz val="7"/>
      <color rgb="FF000000"/>
      <name val="Arial"/>
      <family val="2"/>
    </font>
    <font>
      <sz val="7"/>
      <color theme="5" tint="-0.249977111117893"/>
      <name val="Arial"/>
      <family val="2"/>
    </font>
    <font>
      <b/>
      <sz val="11"/>
      <color rgb="FFFF0000"/>
      <name val="Arial"/>
      <family val="2"/>
    </font>
    <font>
      <b/>
      <sz val="10"/>
      <color theme="7" tint="-0.249977111117893"/>
      <name val="Arial"/>
      <family val="2"/>
    </font>
    <font>
      <b/>
      <sz val="12"/>
      <color theme="3" tint="0.3999755851924192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2"/>
      <color rgb="FFFF0000"/>
      <name val="Calibri"/>
      <family val="2"/>
      <scheme val="minor"/>
    </font>
    <font>
      <b/>
      <sz val="12"/>
      <color theme="6" tint="-0.499984740745262"/>
      <name val="Calibri"/>
      <family val="2"/>
      <scheme val="minor"/>
    </font>
    <font>
      <b/>
      <sz val="10"/>
      <color theme="6" tint="-0.499984740745262"/>
      <name val="Calibri"/>
      <family val="2"/>
      <scheme val="minor"/>
    </font>
    <font>
      <sz val="12"/>
      <color theme="6" tint="-0.499984740745262"/>
      <name val="Calibri"/>
      <family val="2"/>
      <scheme val="minor"/>
    </font>
    <font>
      <b/>
      <sz val="12"/>
      <color theme="5" tint="-0.249977111117893"/>
      <name val="Calibri"/>
      <family val="2"/>
      <scheme val="minor"/>
    </font>
    <font>
      <b/>
      <sz val="10"/>
      <color theme="5" tint="-0.249977111117893"/>
      <name val="Calibri"/>
      <family val="2"/>
      <scheme val="minor"/>
    </font>
    <font>
      <b/>
      <sz val="8"/>
      <color theme="5" tint="-0.249977111117893"/>
      <name val="Calibri"/>
      <family val="2"/>
      <scheme val="minor"/>
    </font>
    <font>
      <sz val="12"/>
      <color theme="5" tint="-0.249977111117893"/>
      <name val="Calibri"/>
      <family val="2"/>
      <scheme val="minor"/>
    </font>
    <font>
      <b/>
      <u/>
      <sz val="8"/>
      <color theme="6" tint="-0.499984740745262"/>
      <name val="Calibri"/>
      <family val="2"/>
      <scheme val="minor"/>
    </font>
    <font>
      <b/>
      <sz val="12"/>
      <color theme="2" tint="-0.749992370372631"/>
      <name val="Calibri"/>
      <family val="2"/>
      <scheme val="minor"/>
    </font>
    <font>
      <b/>
      <sz val="10"/>
      <color theme="2" tint="-0.749992370372631"/>
      <name val="Calibri"/>
      <family val="2"/>
      <scheme val="minor"/>
    </font>
    <font>
      <b/>
      <sz val="8"/>
      <color theme="2" tint="-0.749992370372631"/>
      <name val="Calibri"/>
      <family val="2"/>
      <scheme val="minor"/>
    </font>
    <font>
      <sz val="12"/>
      <color theme="2" tint="-0.749992370372631"/>
      <name val="Calibri"/>
      <family val="2"/>
      <scheme val="minor"/>
    </font>
    <font>
      <b/>
      <sz val="12"/>
      <color theme="4" tint="-0.499984740745262"/>
      <name val="Calibri"/>
      <family val="2"/>
      <scheme val="minor"/>
    </font>
    <font>
      <b/>
      <sz val="10"/>
      <color theme="4" tint="-0.499984740745262"/>
      <name val="Calibri"/>
      <family val="2"/>
      <scheme val="minor"/>
    </font>
    <font>
      <b/>
      <sz val="8"/>
      <color theme="4" tint="-0.499984740745262"/>
      <name val="Calibri"/>
      <family val="2"/>
      <scheme val="minor"/>
    </font>
    <font>
      <sz val="12"/>
      <color theme="4" tint="-0.499984740745262"/>
      <name val="Calibri"/>
      <family val="2"/>
      <scheme val="minor"/>
    </font>
    <font>
      <b/>
      <sz val="9"/>
      <color theme="1"/>
      <name val="Calibri"/>
      <family val="2"/>
      <scheme val="minor"/>
    </font>
    <font>
      <b/>
      <sz val="12"/>
      <name val="Calibri"/>
      <family val="2"/>
      <scheme val="minor"/>
    </font>
    <font>
      <b/>
      <sz val="11"/>
      <color theme="2" tint="-0.749992370372631"/>
      <name val="Calibri"/>
      <family val="2"/>
      <scheme val="minor"/>
    </font>
    <font>
      <sz val="5"/>
      <name val="Arial"/>
      <family val="2"/>
    </font>
    <font>
      <b/>
      <sz val="10"/>
      <color theme="1"/>
      <name val="Calibri"/>
      <family val="2"/>
    </font>
    <font>
      <b/>
      <sz val="16"/>
      <color theme="1"/>
      <name val="Calibri"/>
      <family val="2"/>
      <scheme val="minor"/>
    </font>
    <font>
      <b/>
      <sz val="16"/>
      <name val="Calibri"/>
      <family val="2"/>
      <scheme val="minor"/>
    </font>
    <font>
      <b/>
      <sz val="9"/>
      <color indexed="81"/>
      <name val="Tahoma"/>
      <family val="2"/>
    </font>
    <font>
      <b/>
      <sz val="10"/>
      <color rgb="FFFF0000"/>
      <name val="Calibri"/>
      <family val="2"/>
      <scheme val="minor"/>
    </font>
    <font>
      <b/>
      <sz val="8"/>
      <name val="Calibri"/>
      <family val="2"/>
      <scheme val="minor"/>
    </font>
    <font>
      <b/>
      <sz val="10"/>
      <name val="Calibri"/>
      <family val="2"/>
      <scheme val="minor"/>
    </font>
    <font>
      <sz val="10"/>
      <name val="Calibri"/>
      <family val="2"/>
      <scheme val="minor"/>
    </font>
    <font>
      <sz val="10"/>
      <name val="Calibri"/>
      <family val="2"/>
    </font>
    <font>
      <i/>
      <sz val="10"/>
      <color theme="1"/>
      <name val="Calibri"/>
      <family val="2"/>
      <scheme val="minor"/>
    </font>
    <font>
      <b/>
      <i/>
      <sz val="8"/>
      <color theme="1"/>
      <name val="Arial"/>
      <family val="2"/>
    </font>
    <font>
      <i/>
      <sz val="12"/>
      <color theme="1"/>
      <name val="Calibri"/>
      <family val="2"/>
      <scheme val="minor"/>
    </font>
    <font>
      <b/>
      <sz val="14"/>
      <color theme="2" tint="-0.749992370372631"/>
      <name val="Calibri"/>
      <family val="2"/>
      <scheme val="minor"/>
    </font>
    <font>
      <b/>
      <sz val="10"/>
      <color theme="5" tint="-0.249977111117893"/>
      <name val="Arial"/>
      <family val="2"/>
    </font>
    <font>
      <sz val="10"/>
      <color theme="1"/>
      <name val="Calibri"/>
      <family val="2"/>
    </font>
    <font>
      <b/>
      <i/>
      <sz val="11"/>
      <color theme="5" tint="-0.249977111117893"/>
      <name val="Arial"/>
      <family val="2"/>
    </font>
    <font>
      <b/>
      <i/>
      <sz val="10"/>
      <name val="Arial"/>
      <family val="2"/>
    </font>
    <font>
      <b/>
      <i/>
      <sz val="11"/>
      <color theme="1"/>
      <name val="Calibri"/>
      <family val="2"/>
      <scheme val="minor"/>
    </font>
    <font>
      <b/>
      <i/>
      <sz val="9"/>
      <color theme="1"/>
      <name val="Calibri"/>
      <family val="2"/>
      <scheme val="minor"/>
    </font>
    <font>
      <b/>
      <sz val="16"/>
      <color theme="7" tint="-0.249977111117893"/>
      <name val="Arial"/>
      <family val="2"/>
    </font>
    <font>
      <b/>
      <sz val="16"/>
      <name val="Arial"/>
      <family val="2"/>
    </font>
    <font>
      <b/>
      <sz val="6"/>
      <name val="Arial"/>
      <family val="2"/>
    </font>
    <font>
      <b/>
      <sz val="18"/>
      <color theme="5" tint="-0.249977111117893"/>
      <name val="Calibri"/>
      <family val="2"/>
    </font>
    <font>
      <b/>
      <sz val="20"/>
      <color theme="5" tint="-0.249977111117893"/>
      <name val="Calibri"/>
      <family val="2"/>
    </font>
    <font>
      <b/>
      <sz val="10"/>
      <color theme="8" tint="-0.249977111117893"/>
      <name val="Calibri"/>
      <family val="2"/>
      <scheme val="minor"/>
    </font>
    <font>
      <b/>
      <i/>
      <sz val="8"/>
      <color rgb="FFFF0000"/>
      <name val="Calibri"/>
      <family val="2"/>
      <scheme val="minor"/>
    </font>
    <font>
      <sz val="12"/>
      <name val="Calibri"/>
      <family val="2"/>
      <scheme val="minor"/>
    </font>
    <font>
      <b/>
      <i/>
      <sz val="12"/>
      <name val="Calibri"/>
      <family val="2"/>
      <scheme val="minor"/>
    </font>
    <font>
      <sz val="12"/>
      <name val="Calibri"/>
      <family val="2"/>
    </font>
    <font>
      <sz val="16"/>
      <color theme="1"/>
      <name val="Arial"/>
      <family val="2"/>
    </font>
    <font>
      <sz val="15"/>
      <color theme="1"/>
      <name val="Arial"/>
      <family val="2"/>
    </font>
    <font>
      <sz val="18"/>
      <color theme="1"/>
      <name val="Arial"/>
      <family val="2"/>
    </font>
    <font>
      <sz val="13"/>
      <color theme="1"/>
      <name val="Arial"/>
      <family val="2"/>
    </font>
    <font>
      <b/>
      <sz val="9"/>
      <name val="Calibri"/>
      <family val="2"/>
      <scheme val="minor"/>
    </font>
    <font>
      <b/>
      <u/>
      <sz val="9"/>
      <name val="Calibri"/>
      <family val="2"/>
      <scheme val="minor"/>
    </font>
    <font>
      <sz val="12"/>
      <color rgb="FFFF0000"/>
      <name val="Calibri"/>
      <family val="2"/>
      <scheme val="minor"/>
    </font>
    <font>
      <b/>
      <i/>
      <sz val="9"/>
      <color theme="5" tint="-0.249977111117893"/>
      <name val="Arial"/>
      <family val="2"/>
    </font>
    <font>
      <b/>
      <sz val="9"/>
      <color rgb="FF000000"/>
      <name val="Calibri"/>
      <family val="2"/>
    </font>
    <font>
      <sz val="9"/>
      <color rgb="FF000000"/>
      <name val="Calibri"/>
      <family val="2"/>
    </font>
    <font>
      <i/>
      <sz val="12"/>
      <color rgb="FFFF0000"/>
      <name val="Calibri"/>
      <family val="2"/>
      <scheme val="minor"/>
    </font>
    <font>
      <i/>
      <sz val="10"/>
      <color theme="3" tint="0.39997558519241921"/>
      <name val="Arial"/>
      <family val="2"/>
    </font>
    <font>
      <i/>
      <sz val="10"/>
      <color theme="5" tint="-0.249977111117893"/>
      <name val="Arial"/>
      <family val="2"/>
    </font>
    <font>
      <i/>
      <sz val="12"/>
      <name val="Arial"/>
      <family val="2"/>
    </font>
    <font>
      <b/>
      <sz val="10"/>
      <color theme="9" tint="-0.249977111117893"/>
      <name val="Calibri"/>
      <family val="2"/>
      <scheme val="minor"/>
    </font>
    <font>
      <sz val="9"/>
      <color theme="9" tint="-0.249977111117893"/>
      <name val="Calibri"/>
      <family val="2"/>
      <scheme val="minor"/>
    </font>
    <font>
      <sz val="12"/>
      <color theme="8" tint="-0.249977111117893"/>
      <name val="Calibri"/>
      <family val="2"/>
      <scheme val="minor"/>
    </font>
    <font>
      <b/>
      <sz val="12"/>
      <color theme="8" tint="-0.249977111117893"/>
      <name val="Calibri"/>
      <family val="2"/>
      <scheme val="minor"/>
    </font>
    <font>
      <b/>
      <sz val="11"/>
      <color theme="8" tint="-0.249977111117893"/>
      <name val="Calibri"/>
      <family val="2"/>
      <scheme val="minor"/>
    </font>
    <font>
      <b/>
      <sz val="13"/>
      <color theme="8" tint="-0.249977111117893"/>
      <name val="Calibri"/>
      <family val="2"/>
      <scheme val="minor"/>
    </font>
    <font>
      <b/>
      <sz val="13"/>
      <color theme="8" tint="-0.249977111117893"/>
      <name val="Calibri"/>
      <family val="2"/>
    </font>
    <font>
      <b/>
      <sz val="10"/>
      <color theme="6" tint="-0.249977111117893"/>
      <name val="Calibri"/>
      <family val="2"/>
      <scheme val="minor"/>
    </font>
    <font>
      <b/>
      <sz val="9"/>
      <color theme="6" tint="-0.249977111117893"/>
      <name val="Calibri"/>
      <family val="2"/>
      <scheme val="minor"/>
    </font>
    <font>
      <sz val="8"/>
      <color theme="9" tint="-0.249977111117893"/>
      <name val="Calibri"/>
      <family val="2"/>
      <scheme val="minor"/>
    </font>
    <font>
      <sz val="10"/>
      <color theme="8" tint="-0.249977111117893"/>
      <name val="Calibri"/>
      <family val="2"/>
      <scheme val="minor"/>
    </font>
    <font>
      <sz val="10"/>
      <color rgb="FFFF0000"/>
      <name val="Calibri"/>
      <family val="2"/>
      <scheme val="minor"/>
    </font>
    <font>
      <sz val="7"/>
      <color theme="1"/>
      <name val="Calibri"/>
      <family val="2"/>
      <scheme val="minor"/>
    </font>
    <font>
      <b/>
      <sz val="7"/>
      <color theme="1"/>
      <name val="Calibri"/>
      <family val="2"/>
      <scheme val="minor"/>
    </font>
    <font>
      <i/>
      <sz val="10"/>
      <name val="Calibri"/>
      <family val="2"/>
      <scheme val="minor"/>
    </font>
    <font>
      <i/>
      <sz val="10"/>
      <color theme="6" tint="-0.499984740745262"/>
      <name val="Calibri"/>
      <family val="2"/>
      <scheme val="minor"/>
    </font>
    <font>
      <sz val="6"/>
      <name val="Calibri"/>
      <family val="2"/>
      <scheme val="minor"/>
    </font>
    <font>
      <sz val="12"/>
      <color theme="6" tint="-0.249977111117893"/>
      <name val="Calibri"/>
      <family val="2"/>
      <scheme val="minor"/>
    </font>
    <font>
      <b/>
      <sz val="12"/>
      <color theme="6" tint="-0.249977111117893"/>
      <name val="Calibri"/>
      <family val="2"/>
      <scheme val="minor"/>
    </font>
    <font>
      <sz val="10"/>
      <color theme="6" tint="-0.249977111117893"/>
      <name val="Calibri"/>
      <family val="2"/>
      <scheme val="minor"/>
    </font>
    <font>
      <sz val="9"/>
      <color theme="6" tint="-0.249977111117893"/>
      <name val="Calibri"/>
      <family val="2"/>
      <scheme val="minor"/>
    </font>
    <font>
      <b/>
      <sz val="11"/>
      <color theme="7" tint="-0.249977111117893"/>
      <name val="Calibri"/>
      <family val="2"/>
      <scheme val="minor"/>
    </font>
    <font>
      <b/>
      <i/>
      <sz val="11"/>
      <name val="Calibri"/>
      <family val="2"/>
      <scheme val="minor"/>
    </font>
    <font>
      <b/>
      <i/>
      <sz val="11"/>
      <color theme="6" tint="-0.249977111117893"/>
      <name val="Calibri"/>
      <family val="2"/>
      <scheme val="minor"/>
    </font>
    <font>
      <b/>
      <i/>
      <sz val="11"/>
      <color theme="8" tint="-0.249977111117893"/>
      <name val="Calibri"/>
      <family val="2"/>
      <scheme val="minor"/>
    </font>
    <font>
      <b/>
      <i/>
      <sz val="11"/>
      <color rgb="FFFF0000"/>
      <name val="Calibri"/>
      <family val="2"/>
      <scheme val="minor"/>
    </font>
    <font>
      <sz val="10"/>
      <color rgb="FF000000"/>
      <name val="Tahoma"/>
      <family val="2"/>
    </font>
    <font>
      <b/>
      <sz val="10"/>
      <color rgb="FF000000"/>
      <name val="Tahoma"/>
      <family val="2"/>
    </font>
    <font>
      <b/>
      <i/>
      <sz val="10"/>
      <color theme="6" tint="-0.249977111117893"/>
      <name val="Calibri"/>
      <family val="2"/>
      <scheme val="minor"/>
    </font>
    <font>
      <sz val="8"/>
      <color rgb="FF000000"/>
      <name val="Arial"/>
      <family val="2"/>
    </font>
    <font>
      <sz val="9"/>
      <color theme="5" tint="-0.249977111117893"/>
      <name val="Calibri"/>
      <family val="2"/>
      <scheme val="minor"/>
    </font>
    <font>
      <sz val="10"/>
      <color theme="5" tint="-0.249977111117893"/>
      <name val="Calibri"/>
      <family val="2"/>
      <scheme val="minor"/>
    </font>
    <font>
      <sz val="6"/>
      <color theme="5" tint="-0.249977111117893"/>
      <name val="Calibri"/>
      <family val="2"/>
      <scheme val="minor"/>
    </font>
    <font>
      <sz val="12"/>
      <color rgb="FF000000"/>
      <name val="Calibri"/>
      <family val="2"/>
      <scheme val="minor"/>
    </font>
    <font>
      <i/>
      <sz val="10"/>
      <color rgb="FF000000"/>
      <name val="Arial"/>
      <family val="2"/>
    </font>
    <font>
      <sz val="12"/>
      <color rgb="FF0070C0"/>
      <name val="Calibri"/>
      <family val="2"/>
      <scheme val="minor"/>
    </font>
    <font>
      <sz val="8"/>
      <color rgb="FFFF0000"/>
      <name val="Arial"/>
      <family val="2"/>
    </font>
    <font>
      <i/>
      <sz val="8"/>
      <color theme="1"/>
      <name val="Arial"/>
      <family val="2"/>
    </font>
    <font>
      <b/>
      <strike/>
      <sz val="10"/>
      <color rgb="FFFF0000"/>
      <name val="Arial"/>
      <family val="2"/>
    </font>
    <font>
      <sz val="11"/>
      <color rgb="FF00B050"/>
      <name val="Arial"/>
      <family val="2"/>
    </font>
    <font>
      <sz val="12"/>
      <color rgb="FF00B050"/>
      <name val="Calibri"/>
      <family val="2"/>
      <scheme val="minor"/>
    </font>
    <font>
      <sz val="8"/>
      <color rgb="FF00B050"/>
      <name val="Calibri"/>
      <family val="2"/>
      <scheme val="minor"/>
    </font>
    <font>
      <sz val="12"/>
      <color rgb="FF00B050"/>
      <name val="Calibri (Corps)"/>
    </font>
    <font>
      <sz val="12"/>
      <color rgb="FF00B050"/>
      <name val="Calibri (Textkörper)"/>
    </font>
    <font>
      <sz val="12"/>
      <color theme="1"/>
      <name val="Calibri (Textkörper)"/>
    </font>
    <font>
      <b/>
      <sz val="8"/>
      <color theme="6" tint="-0.499984740745262"/>
      <name val="Calibri"/>
      <family val="2"/>
      <scheme val="minor"/>
    </font>
    <font>
      <b/>
      <sz val="11"/>
      <color theme="3" tint="0.39997558519241921"/>
      <name val="Calibri"/>
      <family val="2"/>
      <scheme val="minor"/>
    </font>
    <font>
      <b/>
      <sz val="11"/>
      <color theme="5" tint="-0.249977111117893"/>
      <name val="Calibri"/>
      <family val="2"/>
      <scheme val="minor"/>
    </font>
    <font>
      <sz val="8"/>
      <color theme="5" tint="-0.249977111117893"/>
      <name val="Calibri"/>
      <family val="2"/>
      <scheme val="minor"/>
    </font>
    <font>
      <b/>
      <sz val="14"/>
      <color theme="5" tint="-0.249977111117893"/>
      <name val="Calibri"/>
      <family val="2"/>
      <scheme val="minor"/>
    </font>
    <font>
      <u/>
      <sz val="11"/>
      <color theme="10"/>
      <name val="Calibri"/>
      <family val="2"/>
      <scheme val="minor"/>
    </font>
    <font>
      <b/>
      <sz val="12"/>
      <color rgb="FF7030A0"/>
      <name val="Calibri"/>
      <family val="2"/>
      <scheme val="minor"/>
    </font>
    <font>
      <b/>
      <sz val="12"/>
      <color rgb="FF0070C0"/>
      <name val="Calibri"/>
      <family val="2"/>
      <scheme val="minor"/>
    </font>
    <font>
      <b/>
      <u/>
      <sz val="12"/>
      <color rgb="FF0070C0"/>
      <name val="Calibri"/>
      <family val="2"/>
      <scheme val="minor"/>
    </font>
    <font>
      <sz val="5"/>
      <color theme="1"/>
      <name val="Calibri"/>
      <family val="2"/>
      <scheme val="minor"/>
    </font>
    <font>
      <u/>
      <sz val="10"/>
      <color theme="10"/>
      <name val="Calibri"/>
      <family val="2"/>
      <scheme val="minor"/>
    </font>
    <font>
      <b/>
      <sz val="12"/>
      <color rgb="FFC00000"/>
      <name val="Calibri"/>
      <family val="2"/>
      <scheme val="minor"/>
    </font>
    <font>
      <b/>
      <sz val="5"/>
      <color theme="1"/>
      <name val="Calibri"/>
      <family val="2"/>
      <scheme val="minor"/>
    </font>
    <font>
      <b/>
      <sz val="6"/>
      <color theme="1"/>
      <name val="Calibri"/>
      <family val="2"/>
      <scheme val="minor"/>
    </font>
    <font>
      <i/>
      <sz val="12"/>
      <color rgb="FF00B050"/>
      <name val="Calibri"/>
      <family val="2"/>
      <scheme val="minor"/>
    </font>
    <font>
      <sz val="12"/>
      <color theme="7" tint="-0.249977111117893"/>
      <name val="Calibri"/>
      <family val="2"/>
      <scheme val="minor"/>
    </font>
    <font>
      <i/>
      <sz val="12"/>
      <color rgb="FFC00000"/>
      <name val="Calibri"/>
      <family val="2"/>
      <scheme val="minor"/>
    </font>
  </fonts>
  <fills count="2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F2F2F2"/>
        <bgColor indexed="64"/>
      </patternFill>
    </fill>
    <fill>
      <patternFill patternType="solid">
        <fgColor rgb="FF92CDDC"/>
        <bgColor rgb="FF000000"/>
      </patternFill>
    </fill>
    <fill>
      <patternFill patternType="solid">
        <fgColor theme="4" tint="0.7999816888943144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59999389629810485"/>
        <bgColor indexed="64"/>
      </patternFill>
    </fill>
  </fills>
  <borders count="9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diagonal/>
    </border>
    <border>
      <left style="double">
        <color auto="1"/>
      </left>
      <right style="thin">
        <color auto="1"/>
      </right>
      <top style="thin">
        <color auto="1"/>
      </top>
      <bottom/>
      <diagonal/>
    </border>
    <border>
      <left style="double">
        <color auto="1"/>
      </left>
      <right style="thin">
        <color auto="1"/>
      </right>
      <top style="thin">
        <color auto="1"/>
      </top>
      <bottom style="thin">
        <color auto="1"/>
      </bottom>
      <diagonal/>
    </border>
    <border>
      <left/>
      <right style="thin">
        <color auto="1"/>
      </right>
      <top/>
      <bottom/>
      <diagonal/>
    </border>
    <border>
      <left/>
      <right style="double">
        <color auto="1"/>
      </right>
      <top style="thin">
        <color auto="1"/>
      </top>
      <bottom style="thin">
        <color auto="1"/>
      </bottom>
      <diagonal/>
    </border>
    <border>
      <left/>
      <right/>
      <top style="thin">
        <color auto="1"/>
      </top>
      <bottom/>
      <diagonal/>
    </border>
    <border>
      <left/>
      <right style="double">
        <color auto="1"/>
      </right>
      <top style="thin">
        <color auto="1"/>
      </top>
      <bottom/>
      <diagonal/>
    </border>
    <border>
      <left/>
      <right/>
      <top/>
      <bottom style="thin">
        <color auto="1"/>
      </bottom>
      <diagonal/>
    </border>
    <border>
      <left style="medium">
        <color auto="1"/>
      </left>
      <right/>
      <top/>
      <bottom/>
      <diagonal/>
    </border>
    <border>
      <left/>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double">
        <color auto="1"/>
      </right>
      <top/>
      <bottom style="medium">
        <color auto="1"/>
      </bottom>
      <diagonal/>
    </border>
    <border>
      <left style="double">
        <color auto="1"/>
      </left>
      <right/>
      <top style="thin">
        <color auto="1"/>
      </top>
      <bottom/>
      <diagonal/>
    </border>
    <border>
      <left style="double">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double">
        <color auto="1"/>
      </right>
      <top/>
      <bottom style="thin">
        <color auto="1"/>
      </bottom>
      <diagonal/>
    </border>
    <border>
      <left/>
      <right style="double">
        <color auto="1"/>
      </right>
      <top/>
      <bottom/>
      <diagonal/>
    </border>
    <border>
      <left style="thin">
        <color auto="1"/>
      </left>
      <right style="thin">
        <color auto="1"/>
      </right>
      <top/>
      <bottom/>
      <diagonal/>
    </border>
    <border>
      <left style="thin">
        <color auto="1"/>
      </left>
      <right style="medium">
        <color auto="1"/>
      </right>
      <top/>
      <bottom style="medium">
        <color auto="1"/>
      </bottom>
      <diagonal/>
    </border>
    <border>
      <left style="double">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medium">
        <color auto="1"/>
      </top>
      <bottom/>
      <diagonal/>
    </border>
    <border>
      <left/>
      <right style="hair">
        <color auto="1"/>
      </right>
      <top/>
      <bottom/>
      <diagonal/>
    </border>
    <border>
      <left style="hair">
        <color auto="1"/>
      </left>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style="double">
        <color auto="1"/>
      </right>
      <top style="medium">
        <color auto="1"/>
      </top>
      <bottom style="thin">
        <color auto="1"/>
      </bottom>
      <diagonal/>
    </border>
    <border>
      <left style="double">
        <color auto="1"/>
      </left>
      <right/>
      <top style="thin">
        <color auto="1"/>
      </top>
      <bottom style="thin">
        <color auto="1"/>
      </bottom>
      <diagonal/>
    </border>
    <border>
      <left style="thin">
        <color auto="1"/>
      </left>
      <right/>
      <top style="hair">
        <color auto="1"/>
      </top>
      <bottom/>
      <diagonal/>
    </border>
    <border>
      <left style="medium">
        <color auto="1"/>
      </left>
      <right/>
      <top style="thin">
        <color auto="1"/>
      </top>
      <bottom style="thin">
        <color auto="1"/>
      </bottom>
      <diagonal/>
    </border>
    <border>
      <left style="medium">
        <color auto="1"/>
      </left>
      <right/>
      <top style="medium">
        <color auto="1"/>
      </top>
      <bottom style="hair">
        <color auto="1"/>
      </bottom>
      <diagonal/>
    </border>
    <border>
      <left style="medium">
        <color auto="1"/>
      </left>
      <right/>
      <top style="thin">
        <color auto="1"/>
      </top>
      <bottom style="hair">
        <color auto="1"/>
      </bottom>
      <diagonal/>
    </border>
    <border>
      <left style="medium">
        <color auto="1"/>
      </left>
      <right/>
      <top style="hair">
        <color auto="1"/>
      </top>
      <bottom/>
      <diagonal/>
    </border>
    <border>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thick">
        <color auto="1"/>
      </top>
      <bottom/>
      <diagonal/>
    </border>
    <border>
      <left style="medium">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medium">
        <color auto="1"/>
      </right>
      <top style="thick">
        <color auto="1"/>
      </top>
      <bottom/>
      <diagonal/>
    </border>
    <border>
      <left/>
      <right/>
      <top/>
      <bottom style="thick">
        <color auto="1"/>
      </bottom>
      <diagonal/>
    </border>
    <border>
      <left style="medium">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medium">
        <color auto="1"/>
      </right>
      <top/>
      <bottom style="thick">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s>
  <cellStyleXfs count="261">
    <xf numFmtId="0" fontId="0" fillId="0" borderId="0"/>
    <xf numFmtId="0" fontId="8" fillId="0" borderId="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9" fontId="65" fillId="0" borderId="0" applyFont="0" applyFill="0" applyBorder="0" applyAlignment="0" applyProtection="0"/>
    <xf numFmtId="165" fontId="6" fillId="0" borderId="0" applyFon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cellStyleXfs>
  <cellXfs count="2433">
    <xf numFmtId="0" fontId="0" fillId="0" borderId="0" xfId="0"/>
    <xf numFmtId="49" fontId="16" fillId="2" borderId="1" xfId="0" applyNumberFormat="1" applyFont="1" applyFill="1" applyBorder="1" applyAlignment="1">
      <alignment vertical="center" wrapText="1"/>
    </xf>
    <xf numFmtId="0" fontId="17" fillId="2" borderId="1" xfId="0" applyFont="1" applyFill="1" applyBorder="1" applyAlignment="1">
      <alignment vertical="center" wrapText="1"/>
    </xf>
    <xf numFmtId="0" fontId="18" fillId="3" borderId="1" xfId="0" applyFont="1" applyFill="1" applyBorder="1" applyAlignment="1">
      <alignment vertical="center" wrapText="1"/>
    </xf>
    <xf numFmtId="0" fontId="19" fillId="2"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20" fillId="2" borderId="1" xfId="0" applyFont="1" applyFill="1" applyBorder="1" applyAlignment="1">
      <alignment vertical="center" wrapText="1"/>
    </xf>
    <xf numFmtId="0" fontId="21" fillId="2" borderId="1" xfId="0" applyFont="1" applyFill="1" applyBorder="1" applyAlignment="1">
      <alignment horizontal="justify" vertical="center" wrapText="1"/>
    </xf>
    <xf numFmtId="0" fontId="21" fillId="0" borderId="1" xfId="0" applyFont="1" applyBorder="1" applyAlignment="1">
      <alignment vertical="top" wrapText="1"/>
    </xf>
    <xf numFmtId="0" fontId="22" fillId="2" borderId="1" xfId="0" applyFont="1" applyFill="1" applyBorder="1" applyAlignment="1">
      <alignment horizontal="justify" vertical="center" wrapText="1"/>
    </xf>
    <xf numFmtId="0" fontId="20" fillId="0" borderId="1" xfId="0" applyFont="1" applyBorder="1" applyAlignment="1">
      <alignment vertical="center" wrapText="1"/>
    </xf>
    <xf numFmtId="0" fontId="22" fillId="2" borderId="1" xfId="0" applyFont="1" applyFill="1" applyBorder="1" applyAlignment="1">
      <alignment horizontal="left" vertical="center" wrapText="1" indent="2"/>
    </xf>
    <xf numFmtId="0" fontId="20" fillId="2" borderId="2" xfId="0" applyFont="1" applyFill="1" applyBorder="1" applyAlignment="1">
      <alignment vertical="top" wrapText="1"/>
    </xf>
    <xf numFmtId="0" fontId="21"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21" fillId="2" borderId="1" xfId="0" applyFont="1" applyFill="1" applyBorder="1" applyAlignment="1">
      <alignment vertical="center" wrapText="1"/>
    </xf>
    <xf numFmtId="0" fontId="16" fillId="3" borderId="1" xfId="0" applyFont="1" applyFill="1" applyBorder="1" applyAlignment="1">
      <alignment vertical="center" wrapText="1"/>
    </xf>
    <xf numFmtId="0" fontId="18" fillId="3" borderId="1" xfId="0" applyFont="1" applyFill="1" applyBorder="1" applyAlignment="1">
      <alignment horizontal="justify" vertical="center" wrapText="1"/>
    </xf>
    <xf numFmtId="0" fontId="21" fillId="0" borderId="0" xfId="0" applyFont="1"/>
    <xf numFmtId="49" fontId="21" fillId="0" borderId="0" xfId="0" applyNumberFormat="1" applyFont="1"/>
    <xf numFmtId="0" fontId="21" fillId="0" borderId="0" xfId="0" applyFont="1" applyAlignment="1">
      <alignment vertical="center"/>
    </xf>
    <xf numFmtId="0" fontId="21" fillId="0" borderId="0" xfId="0" applyFont="1" applyAlignment="1">
      <alignment wrapText="1"/>
    </xf>
    <xf numFmtId="0" fontId="24" fillId="5" borderId="1" xfId="0" applyFont="1" applyFill="1" applyBorder="1" applyAlignment="1">
      <alignment horizontal="center" vertical="center" wrapText="1"/>
    </xf>
    <xf numFmtId="0" fontId="25" fillId="0" borderId="0" xfId="0" applyFont="1"/>
    <xf numFmtId="0" fontId="18" fillId="3" borderId="1" xfId="0" applyFont="1" applyFill="1" applyBorder="1" applyAlignment="1">
      <alignment vertical="top" wrapText="1"/>
    </xf>
    <xf numFmtId="0" fontId="18" fillId="0" borderId="0" xfId="0" applyFont="1"/>
    <xf numFmtId="0" fontId="26" fillId="2" borderId="1" xfId="0" applyFont="1" applyFill="1" applyBorder="1" applyAlignment="1">
      <alignment vertical="center" wrapText="1"/>
    </xf>
    <xf numFmtId="0" fontId="26" fillId="0" borderId="0" xfId="0" applyFont="1"/>
    <xf numFmtId="0" fontId="21" fillId="0" borderId="1" xfId="0" applyFont="1" applyBorder="1" applyAlignment="1">
      <alignment vertical="center" wrapText="1"/>
    </xf>
    <xf numFmtId="0" fontId="26" fillId="0" borderId="1" xfId="0" applyFont="1" applyBorder="1" applyAlignment="1">
      <alignment vertical="center"/>
    </xf>
    <xf numFmtId="0" fontId="27" fillId="0" borderId="0" xfId="0" applyFont="1"/>
    <xf numFmtId="0" fontId="21" fillId="0" borderId="1" xfId="0" applyFont="1" applyBorder="1" applyAlignment="1">
      <alignment vertical="center"/>
    </xf>
    <xf numFmtId="0" fontId="28" fillId="2" borderId="1" xfId="0" applyFont="1" applyFill="1" applyBorder="1" applyAlignment="1">
      <alignment vertical="top" wrapText="1"/>
    </xf>
    <xf numFmtId="0" fontId="28" fillId="0" borderId="1" xfId="0" applyFont="1" applyBorder="1" applyAlignment="1">
      <alignment vertical="top" wrapText="1"/>
    </xf>
    <xf numFmtId="0" fontId="29" fillId="3" borderId="1" xfId="0" applyFont="1" applyFill="1" applyBorder="1" applyAlignment="1">
      <alignment vertical="top" wrapText="1"/>
    </xf>
    <xf numFmtId="0" fontId="30" fillId="2" borderId="1" xfId="0" applyFont="1" applyFill="1" applyBorder="1" applyAlignment="1">
      <alignment horizontal="justify" vertical="center" wrapText="1"/>
    </xf>
    <xf numFmtId="0" fontId="31" fillId="3" borderId="1" xfId="0" applyFont="1" applyFill="1" applyBorder="1" applyAlignment="1">
      <alignment vertical="center" wrapText="1"/>
    </xf>
    <xf numFmtId="0" fontId="20" fillId="3" borderId="1" xfId="0" applyFont="1" applyFill="1" applyBorder="1" applyAlignment="1">
      <alignment vertical="center" wrapText="1"/>
    </xf>
    <xf numFmtId="0" fontId="26" fillId="0" borderId="1" xfId="0" applyFont="1" applyBorder="1" applyAlignment="1">
      <alignment vertical="center" wrapText="1"/>
    </xf>
    <xf numFmtId="49" fontId="9" fillId="3" borderId="1" xfId="0" applyNumberFormat="1" applyFont="1" applyFill="1" applyBorder="1" applyAlignment="1">
      <alignment vertical="center" wrapText="1"/>
    </xf>
    <xf numFmtId="49" fontId="14" fillId="2" borderId="1" xfId="0" applyNumberFormat="1" applyFont="1" applyFill="1" applyBorder="1" applyAlignment="1">
      <alignment horizontal="justify" vertical="center" wrapText="1"/>
    </xf>
    <xf numFmtId="49" fontId="7" fillId="2" borderId="1" xfId="0" applyNumberFormat="1" applyFont="1" applyFill="1" applyBorder="1" applyAlignment="1">
      <alignment horizontal="justify" vertical="center" wrapText="1"/>
    </xf>
    <xf numFmtId="49" fontId="15" fillId="2" borderId="1" xfId="0" applyNumberFormat="1" applyFont="1" applyFill="1" applyBorder="1" applyAlignment="1">
      <alignment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vertical="center" wrapText="1"/>
    </xf>
    <xf numFmtId="49" fontId="15" fillId="2" borderId="1" xfId="0" applyNumberFormat="1" applyFont="1" applyFill="1" applyBorder="1" applyAlignment="1">
      <alignment horizontal="justify" vertical="center" wrapText="1"/>
    </xf>
    <xf numFmtId="49" fontId="7"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4" fillId="2" borderId="1" xfId="0" applyNumberFormat="1" applyFont="1" applyFill="1" applyBorder="1" applyAlignment="1">
      <alignment vertical="center"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vertical="center" wrapText="1"/>
    </xf>
    <xf numFmtId="0" fontId="21" fillId="2" borderId="1" xfId="0" applyFont="1" applyFill="1" applyBorder="1" applyAlignment="1">
      <alignment horizontal="justify" vertical="top" wrapText="1"/>
    </xf>
    <xf numFmtId="0" fontId="20" fillId="2" borderId="1" xfId="0" applyFont="1" applyFill="1" applyBorder="1" applyAlignment="1">
      <alignment horizontal="justify" vertical="top" wrapText="1"/>
    </xf>
    <xf numFmtId="0" fontId="22" fillId="2" borderId="1" xfId="0" applyFont="1" applyFill="1" applyBorder="1" applyAlignment="1">
      <alignment vertical="center" wrapText="1"/>
    </xf>
    <xf numFmtId="0" fontId="22" fillId="0" borderId="1" xfId="0" applyFont="1" applyBorder="1" applyAlignment="1">
      <alignment vertical="center" wrapText="1"/>
    </xf>
    <xf numFmtId="0" fontId="22" fillId="2" borderId="1" xfId="0" applyFont="1" applyFill="1" applyBorder="1" applyAlignment="1">
      <alignment horizontal="left" vertical="center" wrapText="1"/>
    </xf>
    <xf numFmtId="0" fontId="20" fillId="2" borderId="11" xfId="0" applyFont="1" applyFill="1" applyBorder="1" applyAlignment="1">
      <alignment vertical="center" wrapText="1"/>
    </xf>
    <xf numFmtId="0" fontId="20" fillId="2" borderId="1" xfId="0" applyFont="1" applyFill="1" applyBorder="1" applyAlignment="1">
      <alignment horizontal="left" vertical="center" wrapText="1"/>
    </xf>
    <xf numFmtId="0" fontId="20" fillId="2" borderId="2" xfId="0" applyFont="1" applyFill="1" applyBorder="1" applyAlignment="1">
      <alignment vertical="center" wrapText="1"/>
    </xf>
    <xf numFmtId="0" fontId="42" fillId="0" borderId="0" xfId="0" applyFont="1" applyAlignment="1">
      <alignment wrapText="1"/>
    </xf>
    <xf numFmtId="49" fontId="7" fillId="2" borderId="2" xfId="0" applyNumberFormat="1" applyFont="1" applyFill="1" applyBorder="1" applyAlignment="1">
      <alignment vertical="center" wrapText="1"/>
    </xf>
    <xf numFmtId="0" fontId="32" fillId="5" borderId="1" xfId="0" applyFont="1" applyFill="1" applyBorder="1" applyAlignment="1">
      <alignment horizontal="center" vertical="center" wrapText="1"/>
    </xf>
    <xf numFmtId="0" fontId="18" fillId="3" borderId="1" xfId="0" applyFont="1" applyFill="1" applyBorder="1" applyAlignment="1">
      <alignment wrapText="1"/>
    </xf>
    <xf numFmtId="0" fontId="21" fillId="0" borderId="10" xfId="0" applyFont="1" applyBorder="1" applyAlignment="1">
      <alignment horizontal="justify" vertical="center" wrapText="1"/>
    </xf>
    <xf numFmtId="0" fontId="26" fillId="0" borderId="1" xfId="0" applyFont="1" applyBorder="1" applyAlignment="1">
      <alignment horizontal="justify" vertical="center" wrapText="1"/>
    </xf>
    <xf numFmtId="0" fontId="34" fillId="7"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1" fillId="0" borderId="1" xfId="0" applyFont="1" applyBorder="1"/>
    <xf numFmtId="0" fontId="22" fillId="0" borderId="1" xfId="0" applyFont="1" applyBorder="1" applyAlignment="1">
      <alignment horizontal="left" vertical="center" wrapText="1" indent="2"/>
    </xf>
    <xf numFmtId="0" fontId="22"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0" borderId="1" xfId="0" applyFont="1" applyBorder="1" applyAlignment="1">
      <alignment horizontal="justify" vertical="center" wrapText="1"/>
    </xf>
    <xf numFmtId="49" fontId="22" fillId="2" borderId="1" xfId="0" applyNumberFormat="1" applyFont="1" applyFill="1" applyBorder="1" applyAlignment="1">
      <alignment horizontal="left" vertical="center" wrapText="1"/>
    </xf>
    <xf numFmtId="49" fontId="18" fillId="3" borderId="1" xfId="0" applyNumberFormat="1" applyFont="1" applyFill="1" applyBorder="1" applyAlignment="1">
      <alignment vertical="center" wrapText="1"/>
    </xf>
    <xf numFmtId="49" fontId="22" fillId="2" borderId="1" xfId="0" applyNumberFormat="1" applyFont="1" applyFill="1" applyBorder="1" applyAlignment="1">
      <alignment horizontal="justify" vertical="center" wrapText="1"/>
    </xf>
    <xf numFmtId="49" fontId="16" fillId="3" borderId="1" xfId="0" applyNumberFormat="1" applyFont="1" applyFill="1" applyBorder="1" applyAlignment="1">
      <alignment vertical="center" wrapText="1"/>
    </xf>
    <xf numFmtId="49" fontId="30" fillId="2" borderId="1" xfId="0" applyNumberFormat="1" applyFont="1" applyFill="1" applyBorder="1" applyAlignment="1">
      <alignment horizontal="justify" vertical="center" wrapText="1"/>
    </xf>
    <xf numFmtId="49" fontId="22" fillId="2" borderId="1" xfId="0" applyNumberFormat="1" applyFont="1" applyFill="1" applyBorder="1" applyAlignment="1">
      <alignment vertical="center" wrapText="1"/>
    </xf>
    <xf numFmtId="49" fontId="21" fillId="0" borderId="1" xfId="0" applyNumberFormat="1" applyFont="1" applyBorder="1"/>
    <xf numFmtId="49" fontId="22" fillId="0" borderId="1" xfId="0" applyNumberFormat="1" applyFont="1" applyBorder="1" applyAlignment="1">
      <alignment vertical="center" wrapText="1"/>
    </xf>
    <xf numFmtId="49" fontId="30" fillId="2" borderId="1" xfId="0" applyNumberFormat="1" applyFont="1" applyFill="1" applyBorder="1" applyAlignment="1">
      <alignment vertical="center" wrapText="1"/>
    </xf>
    <xf numFmtId="49" fontId="22" fillId="0" borderId="1" xfId="0" applyNumberFormat="1" applyFont="1" applyBorder="1" applyAlignment="1">
      <alignment horizontal="left" vertical="center" wrapText="1"/>
    </xf>
    <xf numFmtId="49" fontId="22" fillId="2" borderId="1" xfId="0" applyNumberFormat="1" applyFont="1" applyFill="1" applyBorder="1" applyAlignment="1">
      <alignment vertical="top" wrapText="1"/>
    </xf>
    <xf numFmtId="49" fontId="19" fillId="2" borderId="1" xfId="0" applyNumberFormat="1" applyFont="1" applyFill="1" applyBorder="1" applyAlignment="1">
      <alignment horizontal="justify" vertical="center" wrapText="1"/>
    </xf>
    <xf numFmtId="49" fontId="19" fillId="0" borderId="1" xfId="0" applyNumberFormat="1" applyFont="1" applyBorder="1" applyAlignment="1">
      <alignment horizontal="left"/>
    </xf>
    <xf numFmtId="0" fontId="33" fillId="0" borderId="1" xfId="0" applyFont="1" applyBorder="1" applyAlignment="1">
      <alignment horizontal="center" vertical="center" wrapText="1"/>
    </xf>
    <xf numFmtId="0" fontId="26" fillId="0" borderId="1" xfId="0" applyFont="1" applyBorder="1"/>
    <xf numFmtId="0" fontId="35" fillId="0" borderId="1" xfId="0" applyFont="1" applyBorder="1" applyAlignment="1">
      <alignment horizontal="center" vertical="center" wrapText="1"/>
    </xf>
    <xf numFmtId="0" fontId="21" fillId="0" borderId="1" xfId="0" applyFont="1" applyBorder="1" applyAlignment="1">
      <alignment horizontal="left" vertical="center" wrapText="1" indent="2"/>
    </xf>
    <xf numFmtId="0" fontId="36"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5" fillId="0" borderId="0" xfId="0" applyFont="1"/>
    <xf numFmtId="49" fontId="45" fillId="0" borderId="0" xfId="0" applyNumberFormat="1" applyFont="1"/>
    <xf numFmtId="0" fontId="49" fillId="2" borderId="1" xfId="0" applyFont="1" applyFill="1" applyBorder="1" applyAlignment="1">
      <alignment vertical="center" wrapText="1"/>
    </xf>
    <xf numFmtId="0" fontId="50" fillId="0" borderId="0" xfId="0" applyFont="1"/>
    <xf numFmtId="0" fontId="45" fillId="0" borderId="0" xfId="0" applyFont="1" applyAlignment="1">
      <alignment wrapText="1"/>
    </xf>
    <xf numFmtId="0" fontId="45" fillId="0" borderId="0" xfId="0" applyFont="1" applyAlignment="1">
      <alignment horizontal="center"/>
    </xf>
    <xf numFmtId="49" fontId="43" fillId="2" borderId="1" xfId="0" applyNumberFormat="1" applyFont="1" applyFill="1" applyBorder="1" applyAlignment="1">
      <alignment vertical="center" wrapText="1"/>
    </xf>
    <xf numFmtId="0" fontId="20" fillId="2" borderId="1" xfId="0" applyFont="1" applyFill="1" applyBorder="1" applyAlignment="1">
      <alignment horizontal="justify" vertical="center" wrapText="1"/>
    </xf>
    <xf numFmtId="0" fontId="45" fillId="0" borderId="0" xfId="0" applyFont="1" applyAlignment="1">
      <alignment vertical="center" wrapText="1"/>
    </xf>
    <xf numFmtId="0" fontId="41" fillId="3" borderId="1" xfId="0" applyFont="1" applyFill="1" applyBorder="1" applyAlignment="1">
      <alignment vertical="center" wrapText="1"/>
    </xf>
    <xf numFmtId="0" fontId="41" fillId="2" borderId="1" xfId="0" applyFont="1" applyFill="1" applyBorder="1" applyAlignment="1">
      <alignment horizontal="justify" vertical="center" wrapText="1"/>
    </xf>
    <xf numFmtId="0" fontId="27" fillId="2" borderId="1" xfId="0" applyFont="1" applyFill="1" applyBorder="1" applyAlignment="1">
      <alignment vertical="center" wrapText="1"/>
    </xf>
    <xf numFmtId="0" fontId="63" fillId="2" borderId="1" xfId="0" applyFont="1" applyFill="1" applyBorder="1" applyAlignment="1">
      <alignment horizontal="justify" vertical="center" wrapText="1"/>
    </xf>
    <xf numFmtId="0" fontId="63" fillId="2" borderId="1" xfId="0" applyFont="1" applyFill="1" applyBorder="1" applyAlignment="1">
      <alignment vertical="center" wrapText="1"/>
    </xf>
    <xf numFmtId="0" fontId="63" fillId="0" borderId="1" xfId="0" applyFont="1" applyBorder="1" applyAlignment="1">
      <alignment horizontal="justify" vertical="center" wrapText="1"/>
    </xf>
    <xf numFmtId="0" fontId="63" fillId="0" borderId="1" xfId="0" applyFont="1" applyBorder="1" applyAlignment="1">
      <alignment vertical="center" wrapText="1"/>
    </xf>
    <xf numFmtId="0" fontId="27" fillId="2" borderId="1" xfId="0" applyFont="1" applyFill="1" applyBorder="1" applyAlignment="1">
      <alignment horizontal="justify" vertical="center" wrapText="1"/>
    </xf>
    <xf numFmtId="0" fontId="41" fillId="2" borderId="1" xfId="0" applyFont="1" applyFill="1" applyBorder="1" applyAlignment="1">
      <alignment vertical="center" wrapText="1"/>
    </xf>
    <xf numFmtId="0" fontId="27" fillId="0" borderId="1" xfId="0" applyFont="1" applyBorder="1" applyAlignment="1">
      <alignment horizontal="justify" vertical="center" wrapText="1"/>
    </xf>
    <xf numFmtId="0" fontId="41" fillId="0" borderId="1" xfId="0" applyFont="1" applyBorder="1" applyAlignment="1">
      <alignment vertical="center" wrapText="1"/>
    </xf>
    <xf numFmtId="0" fontId="41" fillId="2" borderId="1" xfId="0" applyFont="1" applyFill="1" applyBorder="1" applyAlignment="1">
      <alignment horizontal="left" vertical="center" wrapText="1"/>
    </xf>
    <xf numFmtId="0" fontId="41" fillId="0" borderId="1" xfId="0" applyFont="1" applyBorder="1" applyAlignment="1">
      <alignment horizontal="justify" vertical="center" wrapText="1"/>
    </xf>
    <xf numFmtId="0" fontId="62" fillId="3" borderId="1" xfId="0" applyFont="1" applyFill="1" applyBorder="1" applyAlignment="1">
      <alignment vertical="center" wrapText="1"/>
    </xf>
    <xf numFmtId="0" fontId="63" fillId="2" borderId="2" xfId="0" applyFont="1" applyFill="1" applyBorder="1" applyAlignment="1">
      <alignment vertical="center" wrapText="1"/>
    </xf>
    <xf numFmtId="0" fontId="63" fillId="2" borderId="1" xfId="0" applyFont="1" applyFill="1" applyBorder="1" applyAlignment="1">
      <alignment horizontal="left" vertical="center" wrapText="1"/>
    </xf>
    <xf numFmtId="0" fontId="41" fillId="3" borderId="1" xfId="0" applyFont="1" applyFill="1" applyBorder="1" applyAlignment="1">
      <alignment horizontal="justify" vertical="center" wrapText="1"/>
    </xf>
    <xf numFmtId="49" fontId="56" fillId="2" borderId="1" xfId="0" applyNumberFormat="1" applyFont="1" applyFill="1" applyBorder="1" applyAlignment="1">
      <alignment vertical="center" wrapText="1"/>
    </xf>
    <xf numFmtId="0" fontId="56" fillId="0" borderId="0" xfId="0" applyFont="1"/>
    <xf numFmtId="0" fontId="69" fillId="6" borderId="1" xfId="0" applyFont="1" applyFill="1" applyBorder="1" applyAlignment="1">
      <alignment horizontal="center" vertical="center" wrapText="1"/>
    </xf>
    <xf numFmtId="0" fontId="57" fillId="7"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21" fillId="0" borderId="1" xfId="0" applyFont="1" applyBorder="1" applyAlignment="1">
      <alignment horizontal="center" vertical="center"/>
    </xf>
    <xf numFmtId="0" fontId="44" fillId="8" borderId="1" xfId="0" applyFont="1" applyFill="1" applyBorder="1" applyAlignment="1">
      <alignment horizontal="center" vertical="center" wrapText="1"/>
    </xf>
    <xf numFmtId="0" fontId="70" fillId="0" borderId="0" xfId="0" applyFont="1"/>
    <xf numFmtId="49" fontId="70" fillId="0" borderId="0" xfId="0" applyNumberFormat="1" applyFont="1"/>
    <xf numFmtId="0" fontId="70" fillId="0" borderId="0" xfId="0" applyFont="1" applyAlignment="1">
      <alignment vertical="center"/>
    </xf>
    <xf numFmtId="0" fontId="70" fillId="0" borderId="0" xfId="0" applyFont="1" applyAlignment="1">
      <alignment horizontal="center"/>
    </xf>
    <xf numFmtId="0" fontId="70" fillId="0" borderId="0" xfId="0" applyFont="1" applyAlignment="1">
      <alignment wrapText="1"/>
    </xf>
    <xf numFmtId="0" fontId="56" fillId="2" borderId="1" xfId="0" applyFont="1" applyFill="1" applyBorder="1" applyAlignment="1">
      <alignment horizontal="justify" vertical="center" wrapText="1"/>
    </xf>
    <xf numFmtId="0" fontId="58" fillId="6" borderId="1" xfId="0" applyFont="1" applyFill="1" applyBorder="1" applyAlignment="1">
      <alignment horizontal="center" vertical="center" wrapText="1"/>
    </xf>
    <xf numFmtId="0" fontId="71" fillId="7" borderId="1" xfId="0" applyFont="1" applyFill="1" applyBorder="1" applyAlignment="1">
      <alignment horizontal="center" vertical="center" wrapText="1"/>
    </xf>
    <xf numFmtId="9" fontId="53" fillId="6" borderId="1" xfId="8" applyFont="1" applyFill="1" applyBorder="1" applyAlignment="1" applyProtection="1">
      <alignment horizontal="center" vertical="center" wrapText="1"/>
    </xf>
    <xf numFmtId="9" fontId="54" fillId="7" borderId="1" xfId="8" applyFont="1" applyFill="1" applyBorder="1" applyAlignment="1" applyProtection="1">
      <alignment horizontal="center" vertical="center" wrapText="1"/>
    </xf>
    <xf numFmtId="165" fontId="21" fillId="0" borderId="0" xfId="9" applyFont="1" applyAlignment="1" applyProtection="1">
      <alignment vertical="center"/>
    </xf>
    <xf numFmtId="0" fontId="18" fillId="0" borderId="0" xfId="0" applyFont="1" applyAlignment="1">
      <alignment vertical="top" wrapText="1"/>
    </xf>
    <xf numFmtId="49" fontId="22" fillId="0" borderId="0" xfId="0" applyNumberFormat="1" applyFont="1" applyAlignment="1">
      <alignment horizontal="right" vertical="center"/>
    </xf>
    <xf numFmtId="0" fontId="19" fillId="0" borderId="0" xfId="0" applyFont="1" applyAlignment="1">
      <alignment horizontal="right" vertical="top" wrapText="1"/>
    </xf>
    <xf numFmtId="0" fontId="42" fillId="0" borderId="0" xfId="0" applyFont="1" applyAlignment="1">
      <alignment vertical="center" wrapText="1"/>
    </xf>
    <xf numFmtId="0" fontId="46" fillId="0" borderId="0" xfId="0" applyFont="1" applyAlignment="1">
      <alignment vertical="center" wrapText="1"/>
    </xf>
    <xf numFmtId="49" fontId="21" fillId="0" borderId="0" xfId="0" applyNumberFormat="1" applyFont="1" applyAlignment="1">
      <alignment vertical="center"/>
    </xf>
    <xf numFmtId="0" fontId="70" fillId="0" borderId="0" xfId="0" applyFont="1" applyAlignment="1">
      <alignment vertical="center" wrapText="1"/>
    </xf>
    <xf numFmtId="0" fontId="22" fillId="0" borderId="0" xfId="0" applyFont="1"/>
    <xf numFmtId="0" fontId="45" fillId="0" borderId="0" xfId="0" applyFont="1" applyAlignment="1">
      <alignment vertical="center"/>
    </xf>
    <xf numFmtId="0" fontId="26" fillId="0" borderId="1" xfId="0" applyFont="1" applyBorder="1" applyAlignment="1" applyProtection="1">
      <alignment wrapText="1"/>
      <protection locked="0"/>
    </xf>
    <xf numFmtId="0" fontId="21" fillId="0" borderId="1" xfId="0" applyFont="1" applyBorder="1" applyAlignment="1" applyProtection="1">
      <alignment wrapText="1"/>
      <protection locked="0"/>
    </xf>
    <xf numFmtId="0" fontId="0" fillId="0" borderId="0" xfId="0" applyAlignment="1">
      <alignment wrapText="1"/>
    </xf>
    <xf numFmtId="9" fontId="33" fillId="8" borderId="2" xfId="8" applyFont="1" applyFill="1" applyBorder="1" applyAlignment="1" applyProtection="1">
      <alignment horizontal="center" vertical="center" wrapText="1"/>
    </xf>
    <xf numFmtId="9" fontId="34" fillId="7" borderId="2" xfId="8" applyFont="1" applyFill="1" applyBorder="1" applyAlignment="1" applyProtection="1">
      <alignment horizontal="center" vertical="center" wrapText="1"/>
    </xf>
    <xf numFmtId="167" fontId="76" fillId="8" borderId="8" xfId="9" applyNumberFormat="1" applyFont="1" applyFill="1" applyBorder="1" applyAlignment="1" applyProtection="1">
      <alignment vertical="center" wrapText="1"/>
    </xf>
    <xf numFmtId="167" fontId="77" fillId="7" borderId="8" xfId="9" applyNumberFormat="1" applyFont="1" applyFill="1" applyBorder="1" applyAlignment="1" applyProtection="1">
      <alignment vertical="center" wrapText="1"/>
    </xf>
    <xf numFmtId="0" fontId="33" fillId="5"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32" fillId="5" borderId="8" xfId="0" applyFont="1" applyFill="1" applyBorder="1" applyAlignment="1">
      <alignment horizontal="center" vertical="center" wrapText="1"/>
    </xf>
    <xf numFmtId="49" fontId="16" fillId="2" borderId="8" xfId="0" applyNumberFormat="1" applyFont="1" applyFill="1" applyBorder="1" applyAlignment="1">
      <alignment vertical="center" wrapText="1"/>
    </xf>
    <xf numFmtId="9" fontId="24" fillId="0" borderId="18" xfId="8" applyFont="1" applyFill="1" applyBorder="1" applyAlignment="1" applyProtection="1">
      <alignment horizontal="center" vertical="center" wrapText="1"/>
    </xf>
    <xf numFmtId="9" fontId="32" fillId="0" borderId="18" xfId="8" applyFont="1" applyFill="1" applyBorder="1" applyAlignment="1" applyProtection="1">
      <alignment horizontal="center" vertical="center" wrapText="1"/>
    </xf>
    <xf numFmtId="0" fontId="17" fillId="0" borderId="18" xfId="0" applyFont="1" applyBorder="1" applyAlignment="1">
      <alignment vertical="center" wrapText="1"/>
    </xf>
    <xf numFmtId="0" fontId="25" fillId="0" borderId="18" xfId="0" applyFont="1" applyBorder="1"/>
    <xf numFmtId="49" fontId="22" fillId="0" borderId="1" xfId="0" applyNumberFormat="1" applyFont="1" applyBorder="1"/>
    <xf numFmtId="0" fontId="80" fillId="0" borderId="1" xfId="0" applyFont="1" applyBorder="1" applyAlignment="1">
      <alignment vertical="top"/>
    </xf>
    <xf numFmtId="0" fontId="42" fillId="0" borderId="0" xfId="0" applyFont="1"/>
    <xf numFmtId="0" fontId="21" fillId="0" borderId="0" xfId="0" applyFont="1" applyAlignment="1">
      <alignment vertical="top" wrapText="1"/>
    </xf>
    <xf numFmtId="0" fontId="75" fillId="0" borderId="33" xfId="0" applyFont="1" applyBorder="1" applyAlignment="1">
      <alignment vertical="top"/>
    </xf>
    <xf numFmtId="0" fontId="25" fillId="0" borderId="0" xfId="0" applyFont="1" applyAlignment="1">
      <alignment vertical="center" wrapText="1"/>
    </xf>
    <xf numFmtId="49" fontId="25" fillId="0" borderId="0" xfId="0" applyNumberFormat="1" applyFont="1" applyAlignment="1">
      <alignment vertical="center"/>
    </xf>
    <xf numFmtId="0" fontId="25" fillId="0" borderId="0" xfId="0" applyFont="1" applyAlignment="1">
      <alignment vertical="center"/>
    </xf>
    <xf numFmtId="0" fontId="26" fillId="0" borderId="0" xfId="0" applyFont="1" applyAlignment="1">
      <alignment wrapText="1"/>
    </xf>
    <xf numFmtId="49" fontId="14" fillId="0" borderId="1" xfId="0" applyNumberFormat="1" applyFont="1" applyBorder="1" applyAlignment="1">
      <alignment horizontal="left" vertical="center" wrapText="1"/>
    </xf>
    <xf numFmtId="0" fontId="19" fillId="0" borderId="1" xfId="0" applyFont="1" applyBorder="1" applyAlignment="1">
      <alignment wrapText="1"/>
    </xf>
    <xf numFmtId="0" fontId="27" fillId="0" borderId="0" xfId="0" applyFont="1" applyAlignment="1">
      <alignment wrapText="1"/>
    </xf>
    <xf numFmtId="49" fontId="15" fillId="0" borderId="1" xfId="0" applyNumberFormat="1" applyFont="1" applyBorder="1" applyAlignment="1">
      <alignment vertical="center" wrapText="1"/>
    </xf>
    <xf numFmtId="0" fontId="18" fillId="0" borderId="0" xfId="0" applyFont="1" applyAlignment="1">
      <alignment wrapText="1"/>
    </xf>
    <xf numFmtId="0" fontId="82" fillId="0" borderId="0" xfId="0" applyFont="1" applyAlignment="1">
      <alignment horizontal="right" vertical="center"/>
    </xf>
    <xf numFmtId="0" fontId="82" fillId="0" borderId="0" xfId="0" applyFont="1" applyAlignment="1">
      <alignment horizontal="center" vertical="center" wrapText="1"/>
    </xf>
    <xf numFmtId="0" fontId="82" fillId="0" borderId="0" xfId="0" applyFont="1" applyAlignment="1">
      <alignment vertical="center" wrapText="1"/>
    </xf>
    <xf numFmtId="0" fontId="79" fillId="0" borderId="1" xfId="0" applyFont="1" applyBorder="1" applyAlignment="1">
      <alignment horizontal="left" vertical="top" indent="2"/>
    </xf>
    <xf numFmtId="0" fontId="63" fillId="2" borderId="11" xfId="0" applyFont="1" applyFill="1" applyBorder="1" applyAlignment="1">
      <alignment horizontal="left" vertical="center" wrapText="1"/>
    </xf>
    <xf numFmtId="0" fontId="25" fillId="0" borderId="0" xfId="0" applyFont="1" applyAlignment="1">
      <alignment wrapText="1"/>
    </xf>
    <xf numFmtId="49" fontId="21" fillId="0" borderId="0" xfId="0" applyNumberFormat="1" applyFont="1" applyAlignment="1">
      <alignment horizontal="center"/>
    </xf>
    <xf numFmtId="0" fontId="21" fillId="0" borderId="0" xfId="0" applyFont="1" applyAlignment="1">
      <alignment horizontal="center" vertical="top" wrapText="1"/>
    </xf>
    <xf numFmtId="0" fontId="21" fillId="0" borderId="0" xfId="0" applyFont="1" applyAlignment="1">
      <alignment horizontal="center"/>
    </xf>
    <xf numFmtId="0" fontId="18" fillId="0" borderId="0" xfId="0" applyFont="1" applyAlignment="1">
      <alignment horizontal="center" vertical="top" wrapText="1"/>
    </xf>
    <xf numFmtId="0" fontId="8" fillId="13" borderId="34" xfId="0" applyFont="1" applyFill="1" applyBorder="1" applyAlignment="1">
      <alignment vertical="top" wrapText="1"/>
    </xf>
    <xf numFmtId="0" fontId="8" fillId="13" borderId="34" xfId="0" applyFont="1" applyFill="1" applyBorder="1"/>
    <xf numFmtId="0" fontId="14" fillId="13" borderId="34" xfId="0" applyFont="1" applyFill="1" applyBorder="1" applyAlignment="1">
      <alignment vertical="top" wrapText="1"/>
    </xf>
    <xf numFmtId="0" fontId="9" fillId="13" borderId="34" xfId="0" applyFont="1" applyFill="1" applyBorder="1" applyAlignment="1">
      <alignment vertical="top" wrapText="1"/>
    </xf>
    <xf numFmtId="0" fontId="83" fillId="13" borderId="34" xfId="0" applyFont="1" applyFill="1" applyBorder="1" applyAlignment="1">
      <alignment wrapText="1"/>
    </xf>
    <xf numFmtId="0" fontId="9" fillId="13" borderId="36" xfId="0" applyFont="1" applyFill="1" applyBorder="1" applyAlignment="1">
      <alignment vertical="center" wrapText="1"/>
    </xf>
    <xf numFmtId="0" fontId="14" fillId="13" borderId="36" xfId="0" applyFont="1" applyFill="1" applyBorder="1" applyAlignment="1">
      <alignment horizontal="justify" vertical="center" wrapText="1"/>
    </xf>
    <xf numFmtId="0" fontId="8" fillId="13" borderId="36" xfId="0" applyFont="1" applyFill="1" applyBorder="1" applyAlignment="1">
      <alignment horizontal="justify" vertical="center" wrapText="1"/>
    </xf>
    <xf numFmtId="0" fontId="8" fillId="13" borderId="36" xfId="0" applyFont="1" applyFill="1" applyBorder="1" applyAlignment="1">
      <alignment vertical="center" wrapText="1"/>
    </xf>
    <xf numFmtId="0" fontId="14" fillId="13" borderId="36" xfId="0" applyFont="1" applyFill="1" applyBorder="1" applyAlignment="1">
      <alignment vertical="top" wrapText="1"/>
    </xf>
    <xf numFmtId="0" fontId="8" fillId="13" borderId="36" xfId="0" applyFont="1" applyFill="1" applyBorder="1" applyAlignment="1">
      <alignment vertical="top" wrapText="1"/>
    </xf>
    <xf numFmtId="0" fontId="7" fillId="13" borderId="36" xfId="0" applyFont="1" applyFill="1" applyBorder="1" applyAlignment="1">
      <alignment horizontal="justify" vertical="center" wrapText="1"/>
    </xf>
    <xf numFmtId="0" fontId="12" fillId="13" borderId="36" xfId="0" applyFont="1" applyFill="1" applyBorder="1" applyAlignment="1">
      <alignment vertical="center" wrapText="1"/>
    </xf>
    <xf numFmtId="0" fontId="7" fillId="13" borderId="36" xfId="0" applyFont="1" applyFill="1" applyBorder="1" applyAlignment="1">
      <alignment horizontal="left" vertical="center" wrapText="1" indent="2"/>
    </xf>
    <xf numFmtId="0" fontId="8" fillId="13" borderId="37" xfId="0" applyFont="1" applyFill="1" applyBorder="1" applyAlignment="1">
      <alignment vertical="top" wrapText="1"/>
    </xf>
    <xf numFmtId="0" fontId="12" fillId="13" borderId="36" xfId="0" applyFont="1" applyFill="1" applyBorder="1" applyAlignment="1">
      <alignment horizontal="justify" vertical="center" wrapText="1"/>
    </xf>
    <xf numFmtId="0" fontId="10" fillId="13" borderId="36" xfId="0" applyFont="1" applyFill="1" applyBorder="1" applyAlignment="1">
      <alignment horizontal="justify" vertical="center" wrapText="1"/>
    </xf>
    <xf numFmtId="0" fontId="9" fillId="13" borderId="36" xfId="0" applyFont="1" applyFill="1" applyBorder="1" applyAlignment="1">
      <alignment horizontal="justify" vertical="center" wrapText="1"/>
    </xf>
    <xf numFmtId="0" fontId="7" fillId="13" borderId="34" xfId="0" applyFont="1" applyFill="1" applyBorder="1"/>
    <xf numFmtId="0" fontId="89" fillId="13" borderId="34" xfId="0" applyFont="1" applyFill="1" applyBorder="1"/>
    <xf numFmtId="0" fontId="8" fillId="13" borderId="34" xfId="0" applyFont="1" applyFill="1" applyBorder="1" applyAlignment="1">
      <alignment vertical="center"/>
    </xf>
    <xf numFmtId="0" fontId="90" fillId="13" borderId="34" xfId="0" applyFont="1" applyFill="1" applyBorder="1" applyAlignment="1">
      <alignment wrapText="1"/>
    </xf>
    <xf numFmtId="0" fontId="10" fillId="13" borderId="36" xfId="0" applyFont="1" applyFill="1" applyBorder="1" applyAlignment="1">
      <alignment vertical="center" wrapText="1"/>
    </xf>
    <xf numFmtId="0" fontId="10" fillId="13" borderId="36" xfId="0" applyFont="1" applyFill="1" applyBorder="1" applyAlignment="1">
      <alignment vertical="center"/>
    </xf>
    <xf numFmtId="0" fontId="14" fillId="13" borderId="36" xfId="0" applyFont="1" applyFill="1" applyBorder="1" applyAlignment="1">
      <alignment vertical="top"/>
    </xf>
    <xf numFmtId="0" fontId="8" fillId="13" borderId="36" xfId="0" applyFont="1" applyFill="1" applyBorder="1" applyAlignment="1">
      <alignment vertical="center"/>
    </xf>
    <xf numFmtId="0" fontId="91" fillId="13" borderId="36" xfId="0" applyFont="1" applyFill="1" applyBorder="1" applyAlignment="1">
      <alignment vertical="top" wrapText="1"/>
    </xf>
    <xf numFmtId="0" fontId="92" fillId="13" borderId="36" xfId="0" applyFont="1" applyFill="1" applyBorder="1" applyAlignment="1">
      <alignment vertical="top" wrapText="1"/>
    </xf>
    <xf numFmtId="0" fontId="11" fillId="13" borderId="36" xfId="0" applyFont="1" applyFill="1" applyBorder="1" applyAlignment="1">
      <alignment vertical="center" wrapText="1"/>
    </xf>
    <xf numFmtId="0" fontId="9" fillId="13" borderId="36" xfId="0" applyFont="1" applyFill="1" applyBorder="1" applyAlignment="1">
      <alignment vertical="top" wrapText="1"/>
    </xf>
    <xf numFmtId="0" fontId="89" fillId="13" borderId="34" xfId="0" applyFont="1" applyFill="1" applyBorder="1" applyAlignment="1">
      <alignment vertical="center"/>
    </xf>
    <xf numFmtId="0" fontId="86" fillId="0" borderId="7" xfId="0" applyFont="1" applyBorder="1" applyAlignment="1">
      <alignment vertical="center" wrapText="1"/>
    </xf>
    <xf numFmtId="0" fontId="86" fillId="0" borderId="13" xfId="0" applyFont="1" applyBorder="1" applyAlignment="1">
      <alignment vertical="center" wrapText="1"/>
    </xf>
    <xf numFmtId="0" fontId="21" fillId="0" borderId="13" xfId="0" applyFont="1" applyBorder="1"/>
    <xf numFmtId="0" fontId="82" fillId="0" borderId="13" xfId="0" applyFont="1" applyBorder="1" applyAlignment="1">
      <alignment horizontal="right" vertical="center"/>
    </xf>
    <xf numFmtId="0" fontId="82" fillId="0" borderId="11" xfId="0" applyFont="1" applyBorder="1" applyAlignment="1">
      <alignment horizontal="center" vertical="center" wrapText="1"/>
    </xf>
    <xf numFmtId="0" fontId="81" fillId="0" borderId="0" xfId="0" applyFont="1" applyAlignment="1">
      <alignment horizontal="right" vertical="center"/>
    </xf>
    <xf numFmtId="0" fontId="84" fillId="5" borderId="38" xfId="0" applyFont="1" applyFill="1" applyBorder="1" applyAlignment="1">
      <alignment horizontal="center" vertical="center" wrapText="1"/>
    </xf>
    <xf numFmtId="0" fontId="85" fillId="5" borderId="38" xfId="0" applyFont="1" applyFill="1" applyBorder="1" applyAlignment="1">
      <alignment horizontal="center" vertical="center" wrapText="1"/>
    </xf>
    <xf numFmtId="49" fontId="16" fillId="2" borderId="38" xfId="0" applyNumberFormat="1" applyFont="1" applyFill="1" applyBorder="1" applyAlignment="1">
      <alignment vertical="center" wrapText="1"/>
    </xf>
    <xf numFmtId="0" fontId="17" fillId="2" borderId="38" xfId="0" applyFont="1" applyFill="1" applyBorder="1" applyAlignment="1">
      <alignment vertical="center" wrapText="1"/>
    </xf>
    <xf numFmtId="0" fontId="93" fillId="0" borderId="0" xfId="0" applyFont="1"/>
    <xf numFmtId="0" fontId="93" fillId="0" borderId="29" xfId="0" applyFont="1" applyBorder="1"/>
    <xf numFmtId="49" fontId="21" fillId="0" borderId="29" xfId="0" applyNumberFormat="1" applyFont="1" applyBorder="1"/>
    <xf numFmtId="0" fontId="21" fillId="0" borderId="24" xfId="0" applyFont="1" applyBorder="1"/>
    <xf numFmtId="0" fontId="21" fillId="0" borderId="41" xfId="0" applyFont="1" applyBorder="1"/>
    <xf numFmtId="0" fontId="21" fillId="0" borderId="27" xfId="0" applyFont="1" applyBorder="1"/>
    <xf numFmtId="0" fontId="21" fillId="0" borderId="39" xfId="0" applyFont="1" applyBorder="1"/>
    <xf numFmtId="0" fontId="21" fillId="0" borderId="42" xfId="0" applyFont="1" applyBorder="1" applyAlignment="1">
      <alignment horizontal="center"/>
    </xf>
    <xf numFmtId="0" fontId="21" fillId="0" borderId="42" xfId="0" applyFont="1" applyBorder="1"/>
    <xf numFmtId="0" fontId="45" fillId="0" borderId="42" xfId="0" applyFont="1" applyBorder="1" applyAlignment="1">
      <alignment horizontal="center"/>
    </xf>
    <xf numFmtId="9" fontId="45" fillId="0" borderId="40" xfId="8" applyFont="1" applyBorder="1" applyAlignment="1" applyProtection="1">
      <alignment horizontal="center"/>
    </xf>
    <xf numFmtId="9" fontId="21" fillId="0" borderId="31" xfId="8" applyFont="1" applyBorder="1" applyAlignment="1" applyProtection="1">
      <alignment horizontal="center"/>
    </xf>
    <xf numFmtId="49" fontId="21" fillId="0" borderId="31" xfId="0" applyNumberFormat="1" applyFont="1" applyBorder="1"/>
    <xf numFmtId="0" fontId="21" fillId="3" borderId="1" xfId="0" applyFont="1" applyFill="1" applyBorder="1" applyAlignment="1">
      <alignment wrapText="1"/>
    </xf>
    <xf numFmtId="0" fontId="25" fillId="3" borderId="1" xfId="0" applyFont="1" applyFill="1" applyBorder="1" applyAlignment="1">
      <alignment wrapText="1"/>
    </xf>
    <xf numFmtId="0" fontId="27" fillId="3" borderId="1" xfId="0" applyFont="1" applyFill="1" applyBorder="1" applyAlignment="1">
      <alignment wrapText="1"/>
    </xf>
    <xf numFmtId="0" fontId="8" fillId="13" borderId="34" xfId="0" applyFont="1" applyFill="1" applyBorder="1" applyAlignment="1">
      <alignment vertical="center" wrapText="1"/>
    </xf>
    <xf numFmtId="0" fontId="90" fillId="13" borderId="34" xfId="0" applyFont="1" applyFill="1" applyBorder="1" applyAlignment="1">
      <alignment vertical="top" wrapText="1"/>
    </xf>
    <xf numFmtId="0" fontId="94" fillId="13" borderId="34" xfId="0" applyFont="1" applyFill="1" applyBorder="1" applyAlignment="1">
      <alignment vertical="top" wrapText="1"/>
    </xf>
    <xf numFmtId="0" fontId="80" fillId="0" borderId="7" xfId="0" applyFont="1" applyBorder="1" applyAlignment="1">
      <alignment vertical="top"/>
    </xf>
    <xf numFmtId="0" fontId="80" fillId="0" borderId="13" xfId="0" applyFont="1" applyBorder="1" applyAlignment="1">
      <alignment vertical="top"/>
    </xf>
    <xf numFmtId="0" fontId="79" fillId="0" borderId="7" xfId="0" applyFont="1" applyBorder="1" applyAlignment="1">
      <alignment horizontal="left" vertical="top" indent="2"/>
    </xf>
    <xf numFmtId="0" fontId="79" fillId="0" borderId="11" xfId="0" applyFont="1" applyBorder="1" applyAlignment="1">
      <alignment vertical="top"/>
    </xf>
    <xf numFmtId="0" fontId="21" fillId="0" borderId="40" xfId="0" applyFont="1" applyBorder="1" applyAlignment="1">
      <alignment horizontal="center"/>
    </xf>
    <xf numFmtId="0" fontId="21" fillId="0" borderId="31" xfId="0" applyFont="1" applyBorder="1" applyAlignment="1">
      <alignment horizontal="center"/>
    </xf>
    <xf numFmtId="0" fontId="21" fillId="0" borderId="29" xfId="0" applyFont="1" applyBorder="1"/>
    <xf numFmtId="0" fontId="86" fillId="0" borderId="1" xfId="0" applyFont="1" applyBorder="1" applyAlignment="1">
      <alignment vertical="center" wrapText="1"/>
    </xf>
    <xf numFmtId="0" fontId="21" fillId="0" borderId="7" xfId="0" applyFont="1" applyBorder="1"/>
    <xf numFmtId="0" fontId="75" fillId="0" borderId="33" xfId="0" applyFont="1" applyBorder="1" applyAlignment="1">
      <alignment horizontal="left" vertical="top"/>
    </xf>
    <xf numFmtId="0" fontId="0" fillId="0" borderId="0" xfId="0" applyAlignment="1">
      <alignment horizontal="left"/>
    </xf>
    <xf numFmtId="0" fontId="0" fillId="0" borderId="0" xfId="0" applyAlignment="1">
      <alignment horizontal="left" wrapText="1"/>
    </xf>
    <xf numFmtId="0" fontId="25" fillId="12" borderId="18" xfId="0" applyFont="1" applyFill="1" applyBorder="1"/>
    <xf numFmtId="0" fontId="33" fillId="0" borderId="7" xfId="0" applyFont="1" applyBorder="1" applyAlignment="1">
      <alignment horizontal="center" vertical="center" wrapText="1"/>
    </xf>
    <xf numFmtId="0" fontId="25" fillId="0" borderId="1" xfId="0" applyFont="1" applyBorder="1"/>
    <xf numFmtId="0" fontId="34" fillId="0" borderId="28" xfId="0" applyFont="1" applyBorder="1" applyAlignment="1">
      <alignment horizontal="center" vertical="center" wrapText="1"/>
    </xf>
    <xf numFmtId="9" fontId="33" fillId="0" borderId="7" xfId="8" applyFont="1" applyFill="1" applyBorder="1" applyAlignment="1" applyProtection="1">
      <alignment horizontal="center" vertical="center" wrapText="1"/>
    </xf>
    <xf numFmtId="9" fontId="34" fillId="0" borderId="28" xfId="8" applyFont="1" applyFill="1" applyBorder="1" applyAlignment="1" applyProtection="1">
      <alignment horizontal="center" vertical="center" wrapText="1"/>
    </xf>
    <xf numFmtId="0" fontId="24" fillId="6" borderId="11" xfId="0" applyFont="1" applyFill="1" applyBorder="1" applyAlignment="1">
      <alignment horizontal="center" vertical="center" wrapText="1"/>
    </xf>
    <xf numFmtId="0" fontId="32" fillId="7" borderId="1" xfId="0" applyFont="1" applyFill="1" applyBorder="1" applyAlignment="1">
      <alignment horizontal="center" vertical="center" wrapText="1"/>
    </xf>
    <xf numFmtId="9" fontId="24" fillId="6" borderId="11" xfId="8" applyFont="1" applyFill="1" applyBorder="1" applyAlignment="1" applyProtection="1">
      <alignment horizontal="center" vertical="center" wrapText="1"/>
    </xf>
    <xf numFmtId="9" fontId="32" fillId="7" borderId="1" xfId="8" applyFont="1" applyFill="1" applyBorder="1" applyAlignment="1" applyProtection="1">
      <alignment horizontal="center" vertical="center" wrapText="1"/>
    </xf>
    <xf numFmtId="0" fontId="25" fillId="0" borderId="0" xfId="0" applyFont="1" applyAlignment="1">
      <alignment horizontal="center"/>
    </xf>
    <xf numFmtId="0" fontId="25" fillId="0" borderId="29" xfId="0" applyFont="1" applyBorder="1"/>
    <xf numFmtId="9" fontId="25" fillId="0" borderId="31" xfId="8" applyFont="1" applyBorder="1" applyAlignment="1" applyProtection="1">
      <alignment horizontal="center"/>
    </xf>
    <xf numFmtId="0" fontId="19" fillId="0" borderId="0" xfId="0" applyFont="1"/>
    <xf numFmtId="0" fontId="24" fillId="6" borderId="26" xfId="0" applyFont="1" applyFill="1" applyBorder="1" applyAlignment="1">
      <alignment horizontal="center" vertical="center" wrapText="1"/>
    </xf>
    <xf numFmtId="0" fontId="21" fillId="0" borderId="40" xfId="0" applyFont="1" applyBorder="1"/>
    <xf numFmtId="0" fontId="21" fillId="0" borderId="31" xfId="0" applyFont="1" applyBorder="1"/>
    <xf numFmtId="0" fontId="26" fillId="0" borderId="39" xfId="0" applyFont="1" applyBorder="1"/>
    <xf numFmtId="0" fontId="26" fillId="0" borderId="42" xfId="0" applyFont="1" applyBorder="1"/>
    <xf numFmtId="0" fontId="21" fillId="0" borderId="49" xfId="0" applyFont="1" applyBorder="1" applyAlignment="1">
      <alignment horizontal="center"/>
    </xf>
    <xf numFmtId="0" fontId="42" fillId="0" borderId="0" xfId="0" applyFont="1" applyAlignment="1">
      <alignment horizontal="center"/>
    </xf>
    <xf numFmtId="0" fontId="21" fillId="0" borderId="48" xfId="0" applyFont="1" applyBorder="1" applyAlignment="1">
      <alignment horizontal="center"/>
    </xf>
    <xf numFmtId="0" fontId="21" fillId="0" borderId="24" xfId="0" applyFont="1" applyBorder="1" applyAlignment="1">
      <alignment wrapText="1"/>
    </xf>
    <xf numFmtId="0" fontId="93" fillId="0" borderId="27" xfId="0" applyFont="1" applyBorder="1"/>
    <xf numFmtId="0" fontId="25" fillId="0" borderId="31" xfId="0" applyFont="1" applyBorder="1" applyAlignment="1">
      <alignment horizontal="center"/>
    </xf>
    <xf numFmtId="0" fontId="93" fillId="0" borderId="41" xfId="0" applyFont="1" applyBorder="1"/>
    <xf numFmtId="0" fontId="21" fillId="0" borderId="27" xfId="0" applyFont="1" applyBorder="1" applyAlignment="1">
      <alignment wrapText="1"/>
    </xf>
    <xf numFmtId="0" fontId="96" fillId="6" borderId="11" xfId="0" applyFont="1" applyFill="1" applyBorder="1" applyAlignment="1" applyProtection="1">
      <alignment horizontal="center" vertical="center" wrapText="1"/>
      <protection locked="0"/>
    </xf>
    <xf numFmtId="0" fontId="97" fillId="7" borderId="1" xfId="0" applyFont="1" applyFill="1" applyBorder="1" applyAlignment="1" applyProtection="1">
      <alignment horizontal="center" vertical="center" wrapText="1"/>
      <protection locked="0"/>
    </xf>
    <xf numFmtId="0" fontId="96" fillId="6" borderId="25" xfId="0" applyFont="1" applyFill="1" applyBorder="1" applyAlignment="1" applyProtection="1">
      <alignment horizontal="center" vertical="center" wrapText="1"/>
      <protection locked="0"/>
    </xf>
    <xf numFmtId="0" fontId="10" fillId="13" borderId="34" xfId="0" applyFont="1" applyFill="1" applyBorder="1" applyAlignment="1">
      <alignment wrapText="1"/>
    </xf>
    <xf numFmtId="0" fontId="22" fillId="0" borderId="0" xfId="0" applyFont="1" applyAlignment="1">
      <alignment horizontal="left" vertical="center"/>
    </xf>
    <xf numFmtId="0" fontId="56" fillId="0" borderId="0" xfId="0" applyFont="1" applyAlignment="1">
      <alignment horizontal="left" vertical="center"/>
    </xf>
    <xf numFmtId="0" fontId="27" fillId="0" borderId="1" xfId="0" applyFont="1" applyBorder="1" applyAlignment="1">
      <alignment horizontal="center" vertical="center" wrapText="1"/>
    </xf>
    <xf numFmtId="0" fontId="27" fillId="0" borderId="23" xfId="0" applyFont="1" applyBorder="1" applyAlignment="1">
      <alignment horizontal="center" vertical="center" wrapText="1"/>
    </xf>
    <xf numFmtId="0" fontId="19" fillId="0" borderId="0" xfId="0" applyFont="1" applyAlignment="1">
      <alignment vertical="top"/>
    </xf>
    <xf numFmtId="0" fontId="13" fillId="13" borderId="34" xfId="0" applyFont="1" applyFill="1" applyBorder="1" applyAlignment="1">
      <alignment vertical="center" wrapText="1"/>
    </xf>
    <xf numFmtId="49" fontId="42" fillId="0" borderId="0" xfId="0" applyNumberFormat="1" applyFont="1"/>
    <xf numFmtId="0" fontId="42" fillId="0" borderId="0" xfId="0" applyFont="1" applyAlignment="1">
      <alignment vertical="center"/>
    </xf>
    <xf numFmtId="0" fontId="83" fillId="13" borderId="37" xfId="0" applyFont="1" applyFill="1" applyBorder="1" applyAlignment="1">
      <alignment vertical="top"/>
    </xf>
    <xf numFmtId="0" fontId="10" fillId="3" borderId="34" xfId="0" applyFont="1" applyFill="1" applyBorder="1" applyAlignment="1">
      <alignment wrapText="1"/>
    </xf>
    <xf numFmtId="0" fontId="8" fillId="14" borderId="50" xfId="0" applyFont="1" applyFill="1" applyBorder="1" applyAlignment="1">
      <alignment vertical="top" wrapText="1"/>
    </xf>
    <xf numFmtId="0" fontId="70" fillId="3" borderId="35" xfId="0" applyFont="1" applyFill="1" applyBorder="1" applyAlignment="1">
      <alignment horizontal="left" wrapText="1"/>
    </xf>
    <xf numFmtId="0" fontId="26" fillId="14" borderId="50" xfId="0" applyFont="1" applyFill="1" applyBorder="1" applyAlignment="1">
      <alignment wrapText="1"/>
    </xf>
    <xf numFmtId="0" fontId="26" fillId="3" borderId="50" xfId="0" applyFont="1" applyFill="1" applyBorder="1" applyAlignment="1">
      <alignment wrapText="1"/>
    </xf>
    <xf numFmtId="0" fontId="89" fillId="3" borderId="34" xfId="0" applyFont="1" applyFill="1" applyBorder="1" applyAlignment="1">
      <alignment wrapText="1"/>
    </xf>
    <xf numFmtId="0" fontId="89" fillId="13" borderId="34" xfId="0" applyFont="1" applyFill="1" applyBorder="1" applyAlignment="1">
      <alignment wrapText="1"/>
    </xf>
    <xf numFmtId="0" fontId="70" fillId="14" borderId="50" xfId="0" applyFont="1" applyFill="1" applyBorder="1" applyAlignment="1">
      <alignment wrapText="1"/>
    </xf>
    <xf numFmtId="0" fontId="89" fillId="3" borderId="50" xfId="0" applyFont="1" applyFill="1" applyBorder="1" applyAlignment="1">
      <alignment wrapText="1"/>
    </xf>
    <xf numFmtId="0" fontId="8" fillId="13" borderId="34" xfId="0" applyFont="1" applyFill="1" applyBorder="1" applyAlignment="1">
      <alignment wrapText="1"/>
    </xf>
    <xf numFmtId="0" fontId="8" fillId="14" borderId="50" xfId="0" applyFont="1" applyFill="1" applyBorder="1" applyAlignment="1">
      <alignment wrapText="1"/>
    </xf>
    <xf numFmtId="0" fontId="42" fillId="14" borderId="50" xfId="0" applyFont="1" applyFill="1" applyBorder="1" applyAlignment="1">
      <alignment wrapText="1"/>
    </xf>
    <xf numFmtId="0" fontId="83" fillId="14" borderId="2" xfId="0" applyFont="1" applyFill="1" applyBorder="1" applyAlignment="1">
      <alignment vertical="top"/>
    </xf>
    <xf numFmtId="0" fontId="8" fillId="14" borderId="50" xfId="0" applyFont="1" applyFill="1" applyBorder="1" applyAlignment="1">
      <alignment vertical="center" wrapText="1"/>
    </xf>
    <xf numFmtId="0" fontId="8" fillId="14" borderId="50" xfId="0" applyFont="1" applyFill="1" applyBorder="1"/>
    <xf numFmtId="0" fontId="14" fillId="14" borderId="50" xfId="0" applyFont="1" applyFill="1" applyBorder="1" applyAlignment="1">
      <alignment vertical="top" wrapText="1"/>
    </xf>
    <xf numFmtId="0" fontId="9" fillId="14" borderId="50" xfId="0" applyFont="1" applyFill="1" applyBorder="1" applyAlignment="1">
      <alignment vertical="top" wrapText="1"/>
    </xf>
    <xf numFmtId="0" fontId="83" fillId="14" borderId="50" xfId="0" applyFont="1" applyFill="1" applyBorder="1" applyAlignment="1">
      <alignment wrapText="1"/>
    </xf>
    <xf numFmtId="0" fontId="9" fillId="14" borderId="1" xfId="0" applyFont="1" applyFill="1" applyBorder="1" applyAlignment="1">
      <alignment vertical="center" wrapText="1"/>
    </xf>
    <xf numFmtId="0" fontId="14" fillId="14" borderId="1" xfId="0" applyFont="1" applyFill="1" applyBorder="1" applyAlignment="1">
      <alignment horizontal="justify" vertical="center" wrapText="1"/>
    </xf>
    <xf numFmtId="0" fontId="8" fillId="14" borderId="1" xfId="0" applyFont="1" applyFill="1" applyBorder="1" applyAlignment="1">
      <alignment horizontal="justify" vertical="center" wrapText="1"/>
    </xf>
    <xf numFmtId="0" fontId="8" fillId="14" borderId="1" xfId="0" applyFont="1" applyFill="1" applyBorder="1" applyAlignment="1">
      <alignment vertical="center" wrapText="1"/>
    </xf>
    <xf numFmtId="0" fontId="14" fillId="14" borderId="1" xfId="0" applyFont="1" applyFill="1" applyBorder="1" applyAlignment="1">
      <alignment vertical="top"/>
    </xf>
    <xf numFmtId="0" fontId="8" fillId="14" borderId="1" xfId="0" applyFont="1" applyFill="1" applyBorder="1" applyAlignment="1">
      <alignment vertical="top" wrapText="1"/>
    </xf>
    <xf numFmtId="0" fontId="7" fillId="14" borderId="1" xfId="0" applyFont="1" applyFill="1" applyBorder="1" applyAlignment="1">
      <alignment horizontal="justify" vertical="center" wrapText="1"/>
    </xf>
    <xf numFmtId="0" fontId="12" fillId="14" borderId="1" xfId="0" applyFont="1" applyFill="1" applyBorder="1" applyAlignment="1">
      <alignment vertical="center" wrapText="1"/>
    </xf>
    <xf numFmtId="0" fontId="7" fillId="14" borderId="1" xfId="0" applyFont="1" applyFill="1" applyBorder="1" applyAlignment="1">
      <alignment horizontal="left" vertical="center" wrapText="1" indent="2"/>
    </xf>
    <xf numFmtId="0" fontId="8" fillId="14" borderId="2" xfId="0" applyFont="1" applyFill="1" applyBorder="1" applyAlignment="1">
      <alignment vertical="top" wrapText="1"/>
    </xf>
    <xf numFmtId="0" fontId="12" fillId="14" borderId="1" xfId="0" applyFont="1" applyFill="1" applyBorder="1" applyAlignment="1">
      <alignment horizontal="justify" vertical="center" wrapText="1"/>
    </xf>
    <xf numFmtId="0" fontId="10" fillId="14" borderId="1" xfId="0" applyFont="1" applyFill="1" applyBorder="1" applyAlignment="1">
      <alignment horizontal="justify" vertical="center" wrapText="1"/>
    </xf>
    <xf numFmtId="0" fontId="9" fillId="14" borderId="1" xfId="0" applyFont="1" applyFill="1" applyBorder="1" applyAlignment="1">
      <alignment horizontal="justify" vertical="center" wrapText="1"/>
    </xf>
    <xf numFmtId="0" fontId="8" fillId="14" borderId="50" xfId="0" applyFont="1" applyFill="1" applyBorder="1" applyAlignment="1">
      <alignment vertical="center"/>
    </xf>
    <xf numFmtId="0" fontId="7" fillId="14" borderId="50" xfId="0" applyFont="1" applyFill="1" applyBorder="1"/>
    <xf numFmtId="0" fontId="89" fillId="14" borderId="50" xfId="0" applyFont="1" applyFill="1" applyBorder="1"/>
    <xf numFmtId="0" fontId="94" fillId="14" borderId="50" xfId="0" applyFont="1" applyFill="1" applyBorder="1" applyAlignment="1">
      <alignment vertical="top" wrapText="1"/>
    </xf>
    <xf numFmtId="0" fontId="90" fillId="14" borderId="50" xfId="0" applyFont="1" applyFill="1" applyBorder="1" applyAlignment="1">
      <alignment wrapText="1"/>
    </xf>
    <xf numFmtId="0" fontId="10" fillId="14" borderId="1" xfId="0" applyFont="1" applyFill="1" applyBorder="1" applyAlignment="1">
      <alignment vertical="center" wrapText="1"/>
    </xf>
    <xf numFmtId="0" fontId="10" fillId="14" borderId="1" xfId="0" applyFont="1" applyFill="1" applyBorder="1" applyAlignment="1">
      <alignment vertical="center"/>
    </xf>
    <xf numFmtId="0" fontId="8" fillId="14" borderId="1" xfId="0" applyFont="1" applyFill="1" applyBorder="1" applyAlignment="1">
      <alignment vertical="center"/>
    </xf>
    <xf numFmtId="0" fontId="91" fillId="14" borderId="1" xfId="0" applyFont="1" applyFill="1" applyBorder="1" applyAlignment="1">
      <alignment vertical="top" wrapText="1"/>
    </xf>
    <xf numFmtId="0" fontId="92" fillId="14" borderId="1" xfId="0" applyFont="1" applyFill="1" applyBorder="1" applyAlignment="1">
      <alignment vertical="top" wrapText="1"/>
    </xf>
    <xf numFmtId="0" fontId="11" fillId="14" borderId="1" xfId="0" applyFont="1" applyFill="1" applyBorder="1" applyAlignment="1">
      <alignment vertical="center" wrapText="1"/>
    </xf>
    <xf numFmtId="0" fontId="9" fillId="14" borderId="1" xfId="0" applyFont="1" applyFill="1" applyBorder="1" applyAlignment="1">
      <alignment vertical="top" wrapText="1"/>
    </xf>
    <xf numFmtId="0" fontId="89" fillId="14" borderId="50" xfId="0" applyFont="1" applyFill="1" applyBorder="1" applyAlignment="1">
      <alignment vertical="center"/>
    </xf>
    <xf numFmtId="0" fontId="47" fillId="0" borderId="0" xfId="0" applyFont="1" applyAlignment="1">
      <alignment vertical="center" wrapText="1"/>
    </xf>
    <xf numFmtId="0" fontId="14" fillId="3" borderId="34" xfId="0" applyFont="1" applyFill="1" applyBorder="1" applyAlignment="1">
      <alignment vertical="center" wrapText="1"/>
    </xf>
    <xf numFmtId="0" fontId="19" fillId="3" borderId="50" xfId="0" applyFont="1" applyFill="1" applyBorder="1" applyAlignment="1">
      <alignment vertical="center" wrapText="1"/>
    </xf>
    <xf numFmtId="0" fontId="51" fillId="0" borderId="0" xfId="0" applyFont="1" applyAlignment="1">
      <alignment vertical="center" wrapText="1"/>
    </xf>
    <xf numFmtId="0" fontId="10" fillId="3" borderId="34" xfId="0" applyFont="1" applyFill="1" applyBorder="1" applyAlignment="1">
      <alignment vertical="center" wrapText="1"/>
    </xf>
    <xf numFmtId="0" fontId="26" fillId="3" borderId="50" xfId="0" applyFont="1" applyFill="1" applyBorder="1" applyAlignment="1">
      <alignment vertical="center" wrapText="1"/>
    </xf>
    <xf numFmtId="0" fontId="102" fillId="3" borderId="35" xfId="0" applyFont="1" applyFill="1" applyBorder="1" applyAlignment="1">
      <alignment horizontal="left" wrapText="1"/>
    </xf>
    <xf numFmtId="0" fontId="103" fillId="3" borderId="35" xfId="0" applyFont="1" applyFill="1" applyBorder="1" applyAlignment="1">
      <alignment horizontal="left" vertical="center" wrapText="1"/>
    </xf>
    <xf numFmtId="0" fontId="102" fillId="3" borderId="35" xfId="0" applyFont="1" applyFill="1" applyBorder="1" applyAlignment="1">
      <alignment horizontal="left" vertical="center" wrapText="1"/>
    </xf>
    <xf numFmtId="0" fontId="50" fillId="0" borderId="0" xfId="0" applyFont="1" applyAlignment="1">
      <alignment vertical="center" wrapText="1"/>
    </xf>
    <xf numFmtId="0" fontId="55" fillId="0" borderId="0" xfId="0" applyFont="1" applyAlignment="1">
      <alignment vertical="center" wrapText="1"/>
    </xf>
    <xf numFmtId="0" fontId="27" fillId="0" borderId="1" xfId="0" applyFont="1" applyBorder="1" applyAlignment="1">
      <alignment vertical="center" wrapText="1"/>
    </xf>
    <xf numFmtId="0" fontId="27" fillId="0" borderId="0" xfId="0" applyFont="1" applyAlignment="1">
      <alignment vertical="center" wrapText="1"/>
    </xf>
    <xf numFmtId="0" fontId="17" fillId="2" borderId="1" xfId="0" applyFont="1" applyFill="1" applyBorder="1" applyAlignment="1">
      <alignment horizontal="left" vertical="center" wrapText="1" indent="1"/>
    </xf>
    <xf numFmtId="0" fontId="26" fillId="0" borderId="0" xfId="0" applyFont="1" applyAlignment="1">
      <alignment vertical="center"/>
    </xf>
    <xf numFmtId="0" fontId="26" fillId="0" borderId="0" xfId="0" applyFont="1" applyAlignment="1">
      <alignment vertical="center" wrapText="1"/>
    </xf>
    <xf numFmtId="0" fontId="19" fillId="0" borderId="0" xfId="0" applyFont="1" applyAlignment="1">
      <alignment wrapText="1"/>
    </xf>
    <xf numFmtId="0" fontId="105" fillId="0" borderId="0" xfId="0" applyFont="1" applyAlignment="1">
      <alignment horizontal="right"/>
    </xf>
    <xf numFmtId="0" fontId="107" fillId="3" borderId="1" xfId="0" applyFont="1" applyFill="1" applyBorder="1" applyAlignment="1">
      <alignment horizontal="left" vertical="center" wrapText="1"/>
    </xf>
    <xf numFmtId="0" fontId="42" fillId="0" borderId="42" xfId="0" applyFont="1" applyBorder="1" applyAlignment="1">
      <alignment horizontal="center"/>
    </xf>
    <xf numFmtId="0" fontId="42" fillId="0" borderId="49" xfId="0" applyFont="1" applyBorder="1" applyAlignment="1">
      <alignment horizontal="center"/>
    </xf>
    <xf numFmtId="0" fontId="18" fillId="0" borderId="0" xfId="0" applyFont="1" applyAlignment="1">
      <alignment vertical="center"/>
    </xf>
    <xf numFmtId="49" fontId="19" fillId="0" borderId="1" xfId="0" applyNumberFormat="1" applyFont="1" applyBorder="1" applyAlignment="1">
      <alignment horizontal="left" vertical="center"/>
    </xf>
    <xf numFmtId="0" fontId="19" fillId="0" borderId="1" xfId="0" applyFont="1" applyBorder="1" applyAlignment="1">
      <alignment vertical="center"/>
    </xf>
    <xf numFmtId="0" fontId="14" fillId="13" borderId="36" xfId="0" applyFont="1" applyFill="1" applyBorder="1" applyAlignment="1">
      <alignment vertical="center"/>
    </xf>
    <xf numFmtId="0" fontId="14" fillId="14" borderId="1" xfId="0" applyFont="1" applyFill="1" applyBorder="1" applyAlignment="1">
      <alignment vertical="center"/>
    </xf>
    <xf numFmtId="0" fontId="103" fillId="3" borderId="35" xfId="0" applyFont="1" applyFill="1" applyBorder="1" applyAlignment="1">
      <alignment wrapText="1"/>
    </xf>
    <xf numFmtId="0" fontId="102" fillId="3" borderId="35" xfId="0" applyFont="1" applyFill="1" applyBorder="1" applyAlignment="1">
      <alignment wrapText="1"/>
    </xf>
    <xf numFmtId="0" fontId="102" fillId="3" borderId="51" xfId="0" applyFont="1" applyFill="1" applyBorder="1" applyAlignment="1">
      <alignment wrapText="1"/>
    </xf>
    <xf numFmtId="0" fontId="109" fillId="3" borderId="35" xfId="0" applyFont="1" applyFill="1" applyBorder="1" applyAlignment="1">
      <alignment wrapText="1"/>
    </xf>
    <xf numFmtId="0" fontId="103" fillId="3" borderId="35" xfId="0" applyFont="1" applyFill="1" applyBorder="1" applyAlignment="1">
      <alignment vertical="center" wrapText="1"/>
    </xf>
    <xf numFmtId="0" fontId="102" fillId="3" borderId="35" xfId="0" applyFont="1" applyFill="1" applyBorder="1" applyAlignment="1">
      <alignment vertical="center" wrapText="1"/>
    </xf>
    <xf numFmtId="0" fontId="110" fillId="13" borderId="53" xfId="0" applyFont="1" applyFill="1" applyBorder="1" applyAlignment="1">
      <alignment vertical="top" wrapText="1"/>
    </xf>
    <xf numFmtId="0" fontId="110" fillId="14" borderId="54" xfId="0" applyFont="1" applyFill="1" applyBorder="1" applyAlignment="1">
      <alignment vertical="top" wrapText="1"/>
    </xf>
    <xf numFmtId="0" fontId="110" fillId="3" borderId="55" xfId="0" applyFont="1" applyFill="1" applyBorder="1" applyAlignment="1">
      <alignment horizontal="left" vertical="top" wrapText="1"/>
    </xf>
    <xf numFmtId="0" fontId="10" fillId="13" borderId="56" xfId="0" applyFont="1" applyFill="1" applyBorder="1" applyAlignment="1">
      <alignment wrapText="1"/>
    </xf>
    <xf numFmtId="0" fontId="26" fillId="14" borderId="8" xfId="0" applyFont="1" applyFill="1" applyBorder="1" applyAlignment="1">
      <alignment wrapText="1"/>
    </xf>
    <xf numFmtId="0" fontId="102" fillId="3" borderId="57" xfId="0" applyFont="1" applyFill="1" applyBorder="1" applyAlignment="1">
      <alignment horizontal="left" wrapText="1"/>
    </xf>
    <xf numFmtId="0" fontId="89" fillId="13" borderId="56" xfId="0" applyFont="1" applyFill="1" applyBorder="1" applyAlignment="1">
      <alignment wrapText="1"/>
    </xf>
    <xf numFmtId="0" fontId="70" fillId="14" borderId="8" xfId="0" applyFont="1" applyFill="1" applyBorder="1" applyAlignment="1">
      <alignment wrapText="1"/>
    </xf>
    <xf numFmtId="0" fontId="70" fillId="3" borderId="57" xfId="0" applyFont="1" applyFill="1" applyBorder="1" applyAlignment="1">
      <alignment horizontal="left" wrapText="1"/>
    </xf>
    <xf numFmtId="0" fontId="21" fillId="0" borderId="29" xfId="0" applyFont="1" applyBorder="1" applyAlignment="1">
      <alignment wrapText="1"/>
    </xf>
    <xf numFmtId="0" fontId="21" fillId="0" borderId="31" xfId="0" applyFont="1" applyBorder="1" applyAlignment="1">
      <alignment wrapText="1"/>
    </xf>
    <xf numFmtId="0" fontId="42" fillId="3" borderId="35" xfId="0" applyFont="1" applyFill="1" applyBorder="1" applyAlignment="1">
      <alignment wrapText="1"/>
    </xf>
    <xf numFmtId="0" fontId="90" fillId="13" borderId="34" xfId="0" applyFont="1" applyFill="1" applyBorder="1" applyAlignment="1">
      <alignment horizontal="justify" wrapText="1"/>
    </xf>
    <xf numFmtId="0" fontId="90" fillId="14" borderId="50" xfId="0" applyFont="1" applyFill="1" applyBorder="1" applyAlignment="1">
      <alignment horizontal="justify" wrapText="1"/>
    </xf>
    <xf numFmtId="0" fontId="90" fillId="13" borderId="34" xfId="0" applyFont="1" applyFill="1" applyBorder="1"/>
    <xf numFmtId="0" fontId="90" fillId="14" borderId="50" xfId="0" applyFont="1" applyFill="1" applyBorder="1"/>
    <xf numFmtId="0" fontId="112" fillId="13" borderId="34" xfId="0" applyFont="1" applyFill="1" applyBorder="1" applyAlignment="1">
      <alignment wrapText="1"/>
    </xf>
    <xf numFmtId="0" fontId="112" fillId="14" borderId="50" xfId="0" applyFont="1" applyFill="1" applyBorder="1" applyAlignment="1">
      <alignment wrapText="1"/>
    </xf>
    <xf numFmtId="0" fontId="90" fillId="13" borderId="34" xfId="0" applyFont="1" applyFill="1" applyBorder="1" applyAlignment="1">
      <alignment horizontal="left" wrapText="1" indent="2"/>
    </xf>
    <xf numFmtId="0" fontId="90" fillId="14" borderId="50" xfId="0" applyFont="1" applyFill="1" applyBorder="1" applyAlignment="1">
      <alignment horizontal="left" wrapText="1" indent="2"/>
    </xf>
    <xf numFmtId="0" fontId="112" fillId="13" borderId="34" xfId="0" applyFont="1" applyFill="1" applyBorder="1" applyAlignment="1">
      <alignment horizontal="justify" wrapText="1"/>
    </xf>
    <xf numFmtId="0" fontId="112" fillId="14" borderId="50" xfId="0" applyFont="1" applyFill="1" applyBorder="1" applyAlignment="1">
      <alignment horizontal="justify" wrapText="1"/>
    </xf>
    <xf numFmtId="0" fontId="90" fillId="3" borderId="34" xfId="0" applyFont="1" applyFill="1" applyBorder="1" applyAlignment="1">
      <alignment wrapText="1"/>
    </xf>
    <xf numFmtId="0" fontId="90" fillId="3" borderId="50" xfId="0" applyFont="1" applyFill="1" applyBorder="1" applyAlignment="1">
      <alignment wrapText="1"/>
    </xf>
    <xf numFmtId="0" fontId="42" fillId="3" borderId="35" xfId="0" applyFont="1" applyFill="1" applyBorder="1" applyAlignment="1">
      <alignment horizontal="left" wrapText="1"/>
    </xf>
    <xf numFmtId="0" fontId="42" fillId="3" borderId="50" xfId="0" applyFont="1" applyFill="1" applyBorder="1" applyAlignment="1">
      <alignment wrapText="1"/>
    </xf>
    <xf numFmtId="0" fontId="42" fillId="3" borderId="34" xfId="0" applyFont="1" applyFill="1" applyBorder="1" applyAlignment="1">
      <alignment wrapText="1"/>
    </xf>
    <xf numFmtId="0" fontId="90" fillId="3" borderId="34" xfId="0" applyFont="1" applyFill="1" applyBorder="1" applyAlignment="1">
      <alignment vertical="center" wrapText="1"/>
    </xf>
    <xf numFmtId="0" fontId="90" fillId="3" borderId="50" xfId="0" applyFont="1" applyFill="1" applyBorder="1" applyAlignment="1">
      <alignment vertical="center" wrapText="1"/>
    </xf>
    <xf numFmtId="0" fontId="90" fillId="3" borderId="34" xfId="0" applyFont="1" applyFill="1" applyBorder="1" applyAlignment="1">
      <alignment vertical="top" wrapText="1"/>
    </xf>
    <xf numFmtId="0" fontId="90" fillId="3" borderId="50" xfId="0" applyFont="1" applyFill="1" applyBorder="1" applyAlignment="1">
      <alignment vertical="top" wrapText="1"/>
    </xf>
    <xf numFmtId="0" fontId="42" fillId="3" borderId="35" xfId="0" applyFont="1" applyFill="1" applyBorder="1" applyAlignment="1">
      <alignment horizontal="left" vertical="top" wrapText="1"/>
    </xf>
    <xf numFmtId="0" fontId="90" fillId="13" borderId="34" xfId="0" applyFont="1" applyFill="1" applyBorder="1" applyAlignment="1">
      <alignment vertical="center" wrapText="1"/>
    </xf>
    <xf numFmtId="0" fontId="90" fillId="14" borderId="50" xfId="0" applyFont="1" applyFill="1" applyBorder="1" applyAlignment="1">
      <alignment vertical="center" wrapText="1"/>
    </xf>
    <xf numFmtId="0" fontId="90" fillId="13" borderId="37" xfId="0" applyFont="1" applyFill="1" applyBorder="1" applyAlignment="1">
      <alignment wrapText="1"/>
    </xf>
    <xf numFmtId="0" fontId="42" fillId="14" borderId="2" xfId="0" applyFont="1" applyFill="1" applyBorder="1" applyAlignment="1">
      <alignment wrapText="1"/>
    </xf>
    <xf numFmtId="0" fontId="42" fillId="3" borderId="58" xfId="0" applyFont="1" applyFill="1" applyBorder="1" applyAlignment="1">
      <alignment horizontal="left" wrapText="1"/>
    </xf>
    <xf numFmtId="0" fontId="90" fillId="13" borderId="56" xfId="0" applyFont="1" applyFill="1" applyBorder="1" applyAlignment="1">
      <alignment wrapText="1"/>
    </xf>
    <xf numFmtId="0" fontId="42" fillId="14" borderId="8" xfId="0" applyFont="1" applyFill="1" applyBorder="1" applyAlignment="1">
      <alignment wrapText="1"/>
    </xf>
    <xf numFmtId="0" fontId="42" fillId="3" borderId="57" xfId="0" applyFont="1" applyFill="1" applyBorder="1" applyAlignment="1">
      <alignment horizontal="left" wrapText="1"/>
    </xf>
    <xf numFmtId="0" fontId="42" fillId="3" borderId="50" xfId="0" applyFont="1" applyFill="1" applyBorder="1" applyAlignment="1">
      <alignment vertical="center" wrapText="1"/>
    </xf>
    <xf numFmtId="0" fontId="42" fillId="3" borderId="50" xfId="0" applyFont="1" applyFill="1" applyBorder="1" applyAlignment="1">
      <alignment vertical="top" wrapText="1"/>
    </xf>
    <xf numFmtId="0" fontId="42" fillId="3" borderId="34" xfId="0" applyFont="1" applyFill="1" applyBorder="1" applyAlignment="1">
      <alignment vertical="center"/>
    </xf>
    <xf numFmtId="0" fontId="42" fillId="3" borderId="50" xfId="0" applyFont="1" applyFill="1" applyBorder="1" applyAlignment="1">
      <alignment vertical="center"/>
    </xf>
    <xf numFmtId="0" fontId="41" fillId="3"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64" fillId="4" borderId="1"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18" fillId="0" borderId="29" xfId="0" applyFont="1" applyBorder="1" applyAlignment="1">
      <alignment vertical="center" wrapText="1"/>
    </xf>
    <xf numFmtId="0" fontId="26" fillId="0" borderId="29" xfId="0" applyFont="1" applyBorder="1" applyAlignment="1">
      <alignment vertical="center" wrapText="1"/>
    </xf>
    <xf numFmtId="0" fontId="47" fillId="0" borderId="0" xfId="0" applyFont="1" applyAlignment="1">
      <alignment horizontal="center" wrapText="1"/>
    </xf>
    <xf numFmtId="0" fontId="27" fillId="3" borderId="1"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73" fillId="3" borderId="1" xfId="0" applyFont="1" applyFill="1" applyBorder="1" applyAlignment="1">
      <alignment horizontal="center" vertical="center" wrapText="1"/>
    </xf>
    <xf numFmtId="0" fontId="98" fillId="3" borderId="23" xfId="0" applyFont="1" applyFill="1" applyBorder="1" applyAlignment="1">
      <alignment horizontal="center" vertical="center" wrapText="1"/>
    </xf>
    <xf numFmtId="0" fontId="25" fillId="4" borderId="7" xfId="0" applyFont="1" applyFill="1" applyBorder="1" applyAlignment="1">
      <alignment horizontal="center" vertical="center"/>
    </xf>
    <xf numFmtId="166" fontId="14" fillId="0" borderId="0" xfId="0" applyNumberFormat="1" applyFont="1" applyAlignment="1">
      <alignment horizontal="left" vertical="center"/>
    </xf>
    <xf numFmtId="166" fontId="14" fillId="0" borderId="0" xfId="0" applyNumberFormat="1" applyFont="1" applyAlignment="1">
      <alignment vertical="center"/>
    </xf>
    <xf numFmtId="0" fontId="47" fillId="0" borderId="0" xfId="0" applyFont="1" applyAlignment="1">
      <alignment wrapText="1"/>
    </xf>
    <xf numFmtId="166" fontId="47" fillId="0" borderId="0" xfId="0" applyNumberFormat="1" applyFont="1" applyAlignment="1">
      <alignment wrapText="1"/>
    </xf>
    <xf numFmtId="14" fontId="47" fillId="0" borderId="0" xfId="0" applyNumberFormat="1" applyFont="1" applyAlignment="1">
      <alignment wrapText="1"/>
    </xf>
    <xf numFmtId="0" fontId="47" fillId="0" borderId="0" xfId="0" applyFont="1" applyAlignment="1">
      <alignment horizontal="left"/>
    </xf>
    <xf numFmtId="14" fontId="18" fillId="0" borderId="0" xfId="0" applyNumberFormat="1" applyFont="1" applyAlignment="1">
      <alignment horizontal="left" wrapText="1"/>
    </xf>
    <xf numFmtId="0" fontId="21" fillId="0" borderId="0" xfId="0" applyFont="1" applyAlignment="1">
      <alignment horizontal="left" vertical="center"/>
    </xf>
    <xf numFmtId="0" fontId="113" fillId="0" borderId="0" xfId="0" applyFont="1" applyAlignment="1">
      <alignment horizontal="left" vertical="center"/>
    </xf>
    <xf numFmtId="14" fontId="47" fillId="0" borderId="0" xfId="0" applyNumberFormat="1" applyFont="1" applyAlignment="1">
      <alignment horizontal="left"/>
    </xf>
    <xf numFmtId="0" fontId="41" fillId="0" borderId="0" xfId="0" applyFont="1" applyAlignment="1">
      <alignment vertical="center" wrapText="1"/>
    </xf>
    <xf numFmtId="0" fontId="41" fillId="0" borderId="0" xfId="0" applyFont="1" applyAlignment="1">
      <alignment horizontal="left" vertical="center"/>
    </xf>
    <xf numFmtId="0" fontId="27" fillId="0" borderId="0" xfId="0" applyFont="1" applyAlignment="1">
      <alignment vertical="center"/>
    </xf>
    <xf numFmtId="0" fontId="41" fillId="0" borderId="0" xfId="0" applyFont="1" applyAlignment="1">
      <alignment wrapText="1"/>
    </xf>
    <xf numFmtId="0" fontId="41" fillId="0" borderId="0" xfId="0" applyFont="1" applyAlignment="1">
      <alignment horizontal="center" wrapText="1"/>
    </xf>
    <xf numFmtId="0" fontId="115" fillId="13" borderId="34" xfId="0" applyFont="1" applyFill="1" applyBorder="1" applyAlignment="1">
      <alignment wrapText="1"/>
    </xf>
    <xf numFmtId="0" fontId="27" fillId="14" borderId="50" xfId="0" applyFont="1" applyFill="1" applyBorder="1" applyAlignment="1">
      <alignment wrapText="1"/>
    </xf>
    <xf numFmtId="0" fontId="27" fillId="3" borderId="35" xfId="0" applyFont="1" applyFill="1" applyBorder="1" applyAlignment="1">
      <alignment horizontal="left" wrapText="1"/>
    </xf>
    <xf numFmtId="0" fontId="14" fillId="0" borderId="0" xfId="0" applyFont="1" applyAlignment="1">
      <alignment vertical="center"/>
    </xf>
    <xf numFmtId="0" fontId="75" fillId="0" borderId="33" xfId="0" applyFont="1" applyBorder="1" applyAlignment="1">
      <alignment horizontal="center" vertical="top"/>
    </xf>
    <xf numFmtId="0" fontId="0" fillId="0" borderId="0" xfId="0" applyAlignment="1">
      <alignment horizontal="center"/>
    </xf>
    <xf numFmtId="0" fontId="0" fillId="0" borderId="0" xfId="0" applyAlignment="1">
      <alignment horizontal="center" wrapText="1"/>
    </xf>
    <xf numFmtId="0" fontId="47" fillId="0" borderId="0" xfId="0" applyFont="1" applyAlignment="1">
      <alignment horizontal="left" vertical="top" wrapText="1"/>
    </xf>
    <xf numFmtId="0" fontId="14" fillId="0" borderId="0" xfId="0" applyFont="1" applyAlignment="1">
      <alignment horizontal="left" vertical="center"/>
    </xf>
    <xf numFmtId="0" fontId="94" fillId="13" borderId="34" xfId="0" applyFont="1" applyFill="1" applyBorder="1" applyAlignment="1">
      <alignment wrapText="1"/>
    </xf>
    <xf numFmtId="0" fontId="94" fillId="14" borderId="50" xfId="0" applyFont="1" applyFill="1" applyBorder="1" applyAlignment="1">
      <alignment wrapText="1"/>
    </xf>
    <xf numFmtId="0" fontId="14" fillId="0" borderId="0" xfId="0" applyFont="1" applyAlignment="1">
      <alignment horizontal="left" vertical="center" wrapText="1"/>
    </xf>
    <xf numFmtId="0" fontId="47" fillId="0" borderId="0" xfId="0" applyFont="1" applyAlignment="1">
      <alignment vertical="top" wrapText="1"/>
    </xf>
    <xf numFmtId="0" fontId="41" fillId="0" borderId="0" xfId="0" applyFont="1" applyAlignment="1">
      <alignment vertical="top" wrapText="1"/>
    </xf>
    <xf numFmtId="0" fontId="27" fillId="0" borderId="0" xfId="0" applyFont="1" applyAlignment="1">
      <alignment vertical="top"/>
    </xf>
    <xf numFmtId="0" fontId="10" fillId="13" borderId="34" xfId="0" applyFont="1" applyFill="1" applyBorder="1" applyAlignment="1">
      <alignment vertical="top" wrapText="1"/>
    </xf>
    <xf numFmtId="0" fontId="26" fillId="14" borderId="50" xfId="0" applyFont="1" applyFill="1" applyBorder="1" applyAlignment="1">
      <alignment vertical="top" wrapText="1"/>
    </xf>
    <xf numFmtId="0" fontId="102" fillId="3" borderId="35" xfId="0" applyFont="1" applyFill="1" applyBorder="1" applyAlignment="1">
      <alignment horizontal="left" vertical="top" wrapText="1"/>
    </xf>
    <xf numFmtId="0" fontId="115" fillId="13" borderId="34" xfId="0" applyFont="1" applyFill="1" applyBorder="1" applyAlignment="1">
      <alignment vertical="top" wrapText="1"/>
    </xf>
    <xf numFmtId="0" fontId="27" fillId="14" borderId="50" xfId="0" applyFont="1" applyFill="1" applyBorder="1" applyAlignment="1">
      <alignment vertical="top" wrapText="1"/>
    </xf>
    <xf numFmtId="0" fontId="27" fillId="3" borderId="35" xfId="0" applyFont="1" applyFill="1" applyBorder="1" applyAlignment="1">
      <alignment horizontal="left" vertical="top" wrapText="1"/>
    </xf>
    <xf numFmtId="0" fontId="22" fillId="0" borderId="0" xfId="0" applyFont="1" applyAlignment="1">
      <alignment vertical="center" wrapText="1"/>
    </xf>
    <xf numFmtId="0" fontId="19" fillId="0" borderId="0" xfId="0" applyFont="1" applyAlignment="1">
      <alignment vertical="center" wrapText="1"/>
    </xf>
    <xf numFmtId="166" fontId="47" fillId="0" borderId="0" xfId="0" applyNumberFormat="1" applyFont="1" applyAlignment="1">
      <alignment horizontal="left" wrapText="1"/>
    </xf>
    <xf numFmtId="14" fontId="47" fillId="0" borderId="0" xfId="0" applyNumberFormat="1" applyFont="1" applyAlignment="1">
      <alignment horizontal="left" wrapText="1"/>
    </xf>
    <xf numFmtId="0" fontId="18" fillId="0" borderId="0" xfId="0" applyFont="1" applyAlignment="1">
      <alignment vertical="center" wrapText="1"/>
    </xf>
    <xf numFmtId="0" fontId="9" fillId="0" borderId="0" xfId="0" applyFont="1" applyAlignment="1">
      <alignment horizontal="left" vertical="center"/>
    </xf>
    <xf numFmtId="0" fontId="10" fillId="13" borderId="34" xfId="0" applyFont="1" applyFill="1" applyBorder="1" applyAlignment="1">
      <alignment vertical="center" wrapText="1"/>
    </xf>
    <xf numFmtId="0" fontId="26" fillId="14" borderId="50" xfId="0" applyFont="1" applyFill="1" applyBorder="1" applyAlignment="1">
      <alignment vertical="center" wrapText="1"/>
    </xf>
    <xf numFmtId="166" fontId="14" fillId="11" borderId="0" xfId="0" applyNumberFormat="1" applyFont="1" applyFill="1" applyAlignment="1">
      <alignment vertical="center"/>
    </xf>
    <xf numFmtId="20" fontId="47" fillId="0" borderId="0" xfId="0" applyNumberFormat="1" applyFont="1" applyAlignment="1">
      <alignment horizontal="left" vertical="top" wrapText="1"/>
    </xf>
    <xf numFmtId="0" fontId="52" fillId="0" borderId="0" xfId="0" applyFont="1" applyAlignment="1">
      <alignment horizontal="right" vertical="center"/>
    </xf>
    <xf numFmtId="14" fontId="47" fillId="0" borderId="0" xfId="0" applyNumberFormat="1" applyFont="1" applyAlignment="1">
      <alignment horizontal="left" vertical="top" wrapText="1"/>
    </xf>
    <xf numFmtId="0" fontId="19" fillId="0" borderId="0" xfId="0" applyFont="1" applyAlignment="1">
      <alignment vertical="top" wrapText="1"/>
    </xf>
    <xf numFmtId="0" fontId="47" fillId="0" borderId="0" xfId="0" applyFont="1" applyAlignment="1">
      <alignment horizontal="center" vertical="top" wrapText="1"/>
    </xf>
    <xf numFmtId="0" fontId="45" fillId="0" borderId="0" xfId="0" applyFont="1" applyAlignment="1">
      <alignment vertical="top"/>
    </xf>
    <xf numFmtId="0" fontId="89" fillId="13" borderId="34" xfId="0" applyFont="1" applyFill="1" applyBorder="1" applyAlignment="1">
      <alignment vertical="top" wrapText="1"/>
    </xf>
    <xf numFmtId="0" fontId="70" fillId="14" borderId="50" xfId="0" applyFont="1" applyFill="1" applyBorder="1" applyAlignment="1">
      <alignment vertical="top" wrapText="1"/>
    </xf>
    <xf numFmtId="0" fontId="70" fillId="3" borderId="35" xfId="0" applyFont="1" applyFill="1" applyBorder="1" applyAlignment="1">
      <alignment horizontal="left" vertical="top" wrapText="1"/>
    </xf>
    <xf numFmtId="0" fontId="41" fillId="0" borderId="0" xfId="0" applyFont="1" applyAlignment="1">
      <alignment horizontal="left" vertical="top" wrapText="1"/>
    </xf>
    <xf numFmtId="0" fontId="118" fillId="0" borderId="0" xfId="0" applyFont="1" applyAlignment="1">
      <alignment horizontal="left" vertical="top"/>
    </xf>
    <xf numFmtId="0" fontId="100" fillId="0" borderId="0" xfId="0" applyFont="1" applyAlignment="1">
      <alignment horizontal="left" vertical="top"/>
    </xf>
    <xf numFmtId="14" fontId="47" fillId="7" borderId="0" xfId="0" applyNumberFormat="1" applyFont="1" applyFill="1" applyAlignment="1">
      <alignment horizontal="left" vertical="top" wrapText="1"/>
    </xf>
    <xf numFmtId="14" fontId="47" fillId="7" borderId="0" xfId="0" applyNumberFormat="1" applyFont="1" applyFill="1" applyAlignment="1">
      <alignment horizontal="left" wrapText="1"/>
    </xf>
    <xf numFmtId="0" fontId="10" fillId="3" borderId="50" xfId="0" applyFont="1" applyFill="1" applyBorder="1" applyAlignment="1">
      <alignment wrapText="1"/>
    </xf>
    <xf numFmtId="166" fontId="7" fillId="0" borderId="0" xfId="0" applyNumberFormat="1" applyFont="1" applyAlignment="1">
      <alignment horizontal="left" vertical="center"/>
    </xf>
    <xf numFmtId="14" fontId="41" fillId="7" borderId="0" xfId="0" applyNumberFormat="1" applyFont="1" applyFill="1" applyAlignment="1">
      <alignment horizontal="left" vertical="top" wrapText="1"/>
    </xf>
    <xf numFmtId="14" fontId="41" fillId="0" borderId="0" xfId="0" applyNumberFormat="1" applyFont="1" applyAlignment="1">
      <alignment horizontal="left" vertical="top" wrapText="1"/>
    </xf>
    <xf numFmtId="0" fontId="56" fillId="0" borderId="0" xfId="0" applyFont="1" applyAlignment="1">
      <alignment horizontal="left" vertical="center" wrapText="1"/>
    </xf>
    <xf numFmtId="0" fontId="22" fillId="0" borderId="0" xfId="0" applyFont="1" applyAlignment="1">
      <alignment horizontal="left" vertical="center" wrapText="1"/>
    </xf>
    <xf numFmtId="0" fontId="75" fillId="7" borderId="0" xfId="0" applyFont="1" applyFill="1" applyAlignment="1" applyProtection="1">
      <alignment horizontal="center"/>
      <protection locked="0"/>
    </xf>
    <xf numFmtId="0" fontId="0" fillId="0" borderId="0" xfId="0" applyAlignment="1">
      <alignment vertical="top"/>
    </xf>
    <xf numFmtId="0" fontId="75" fillId="0" borderId="0" xfId="0" applyFont="1"/>
    <xf numFmtId="0" fontId="111" fillId="3" borderId="35" xfId="0" applyFont="1" applyFill="1" applyBorder="1" applyAlignment="1">
      <alignment wrapText="1"/>
    </xf>
    <xf numFmtId="0" fontId="66" fillId="16" borderId="1" xfId="0" applyFont="1" applyFill="1" applyBorder="1" applyAlignment="1">
      <alignment horizontal="justify" vertical="center" wrapText="1"/>
    </xf>
    <xf numFmtId="0" fontId="68" fillId="16" borderId="1" xfId="0" applyFont="1" applyFill="1" applyBorder="1" applyAlignment="1">
      <alignment horizontal="justify" vertical="center" wrapText="1"/>
    </xf>
    <xf numFmtId="0" fontId="67" fillId="16" borderId="1" xfId="0" applyFont="1" applyFill="1" applyBorder="1" applyAlignment="1">
      <alignment horizontal="justify" vertical="center" wrapText="1"/>
    </xf>
    <xf numFmtId="0" fontId="56" fillId="0" borderId="29" xfId="0" applyFont="1" applyBorder="1" applyAlignment="1">
      <alignment wrapText="1"/>
    </xf>
    <xf numFmtId="0" fontId="22" fillId="0" borderId="24" xfId="0" applyFont="1" applyBorder="1" applyAlignment="1">
      <alignment horizontal="center" wrapText="1"/>
    </xf>
    <xf numFmtId="166" fontId="56" fillId="0" borderId="0" xfId="0" applyNumberFormat="1" applyFont="1" applyAlignment="1">
      <alignment horizontal="center" wrapText="1"/>
    </xf>
    <xf numFmtId="166" fontId="22" fillId="0" borderId="27" xfId="0" applyNumberFormat="1" applyFont="1" applyBorder="1" applyAlignment="1">
      <alignment horizontal="center" wrapText="1"/>
    </xf>
    <xf numFmtId="0" fontId="22" fillId="0" borderId="40" xfId="0" applyFont="1" applyBorder="1" applyAlignment="1">
      <alignment horizontal="left" wrapText="1"/>
    </xf>
    <xf numFmtId="0" fontId="22" fillId="0" borderId="31" xfId="0" applyFont="1" applyBorder="1" applyAlignment="1">
      <alignment horizontal="left" wrapText="1"/>
    </xf>
    <xf numFmtId="0" fontId="56" fillId="0" borderId="31" xfId="0" applyFont="1" applyBorder="1" applyAlignment="1">
      <alignment horizontal="center" wrapText="1"/>
    </xf>
    <xf numFmtId="0" fontId="22" fillId="0" borderId="41" xfId="0" applyFont="1" applyBorder="1" applyAlignment="1">
      <alignment horizontal="center" wrapText="1"/>
    </xf>
    <xf numFmtId="0" fontId="70" fillId="0" borderId="42" xfId="0" applyFont="1" applyBorder="1" applyAlignment="1">
      <alignment vertical="center" wrapText="1"/>
    </xf>
    <xf numFmtId="0" fontId="72" fillId="0" borderId="0" xfId="0" applyFont="1" applyAlignment="1">
      <alignment vertical="center" wrapText="1"/>
    </xf>
    <xf numFmtId="0" fontId="41" fillId="0" borderId="1" xfId="0" applyFont="1" applyBorder="1" applyAlignment="1">
      <alignment horizontal="center" vertical="center" wrapText="1"/>
    </xf>
    <xf numFmtId="0" fontId="96" fillId="6" borderId="1" xfId="0" applyFont="1" applyFill="1" applyBorder="1" applyAlignment="1" applyProtection="1">
      <alignment horizontal="center" vertical="center" wrapText="1"/>
      <protection locked="0"/>
    </xf>
    <xf numFmtId="0" fontId="26" fillId="0" borderId="27" xfId="0" applyFont="1" applyBorder="1"/>
    <xf numFmtId="0" fontId="96" fillId="0" borderId="1" xfId="0" applyFont="1" applyBorder="1" applyAlignment="1">
      <alignment horizontal="center" vertical="center" wrapText="1"/>
    </xf>
    <xf numFmtId="0" fontId="21" fillId="0" borderId="0" xfId="0" applyFont="1" applyAlignment="1">
      <alignment vertical="center" wrapText="1"/>
    </xf>
    <xf numFmtId="49" fontId="22" fillId="0" borderId="0" xfId="0" applyNumberFormat="1" applyFont="1" applyAlignment="1">
      <alignment vertical="center" wrapText="1"/>
    </xf>
    <xf numFmtId="0" fontId="96" fillId="6" borderId="2" xfId="0" applyFont="1" applyFill="1" applyBorder="1" applyAlignment="1" applyProtection="1">
      <alignment horizontal="center" vertical="center" wrapText="1"/>
      <protection locked="0"/>
    </xf>
    <xf numFmtId="0" fontId="22" fillId="0" borderId="42" xfId="0" applyFont="1" applyBorder="1" applyAlignment="1">
      <alignment horizontal="left"/>
    </xf>
    <xf numFmtId="0" fontId="22" fillId="0" borderId="0" xfId="0" applyFont="1" applyAlignment="1">
      <alignment horizontal="left" vertical="top" wrapText="1"/>
    </xf>
    <xf numFmtId="0" fontId="22" fillId="0" borderId="40" xfId="0" applyFont="1" applyBorder="1" applyAlignment="1">
      <alignment horizontal="left" vertical="top" wrapText="1"/>
    </xf>
    <xf numFmtId="0" fontId="22" fillId="0" borderId="31" xfId="0" applyFont="1" applyBorder="1" applyAlignment="1">
      <alignment horizontal="left" vertical="top" wrapText="1"/>
    </xf>
    <xf numFmtId="0" fontId="22" fillId="0" borderId="31" xfId="0" applyFont="1" applyBorder="1" applyAlignment="1">
      <alignment wrapText="1"/>
    </xf>
    <xf numFmtId="0" fontId="19" fillId="0" borderId="31" xfId="0" applyFont="1" applyBorder="1" applyAlignment="1">
      <alignment wrapText="1"/>
    </xf>
    <xf numFmtId="0" fontId="19" fillId="0" borderId="0" xfId="0" applyFont="1" applyAlignment="1">
      <alignment horizontal="left" vertical="top"/>
    </xf>
    <xf numFmtId="0" fontId="10" fillId="3" borderId="27" xfId="0" applyFont="1" applyFill="1" applyBorder="1" applyAlignment="1">
      <alignment wrapText="1"/>
    </xf>
    <xf numFmtId="0" fontId="100" fillId="0" borderId="0" xfId="0" applyFont="1"/>
    <xf numFmtId="0" fontId="19" fillId="3" borderId="1" xfId="0" applyFont="1" applyFill="1" applyBorder="1" applyAlignment="1">
      <alignment horizontal="left" vertical="center" wrapText="1" indent="1"/>
    </xf>
    <xf numFmtId="0" fontId="26" fillId="2" borderId="1" xfId="0" applyFont="1" applyFill="1" applyBorder="1" applyAlignment="1">
      <alignment horizontal="left" vertical="center" wrapText="1" indent="1"/>
    </xf>
    <xf numFmtId="0" fontId="68" fillId="2" borderId="1" xfId="0" applyFont="1" applyFill="1" applyBorder="1" applyAlignment="1">
      <alignment horizontal="left" vertical="center" wrapText="1" indent="1"/>
    </xf>
    <xf numFmtId="0" fontId="68" fillId="0" borderId="1" xfId="0" applyFont="1" applyBorder="1" applyAlignment="1">
      <alignment horizontal="left" vertical="center" wrapText="1" indent="1"/>
    </xf>
    <xf numFmtId="0" fontId="26" fillId="0" borderId="1" xfId="0" applyFont="1" applyBorder="1" applyAlignment="1">
      <alignment horizontal="left" vertical="center" wrapText="1" indent="1"/>
    </xf>
    <xf numFmtId="0" fontId="19" fillId="2" borderId="1" xfId="0" applyFont="1" applyFill="1" applyBorder="1" applyAlignment="1">
      <alignment horizontal="left" vertical="center" wrapText="1" indent="1"/>
    </xf>
    <xf numFmtId="0" fontId="106" fillId="2" borderId="1" xfId="0" applyFont="1" applyFill="1" applyBorder="1" applyAlignment="1">
      <alignment horizontal="left" vertical="center" wrapText="1" indent="1"/>
    </xf>
    <xf numFmtId="0" fontId="106" fillId="0" borderId="1" xfId="0" applyFont="1" applyBorder="1" applyAlignment="1">
      <alignment horizontal="left" vertical="center" wrapText="1" indent="1"/>
    </xf>
    <xf numFmtId="0" fontId="107" fillId="3" borderId="1" xfId="0" applyFont="1" applyFill="1" applyBorder="1" applyAlignment="1">
      <alignment horizontal="left" vertical="center" wrapText="1" indent="1"/>
    </xf>
    <xf numFmtId="0" fontId="26" fillId="0" borderId="0" xfId="0" applyFont="1" applyAlignment="1">
      <alignment horizontal="left" vertical="center" wrapText="1" indent="1"/>
    </xf>
    <xf numFmtId="0" fontId="68" fillId="2" borderId="11" xfId="0" applyFont="1" applyFill="1" applyBorder="1" applyAlignment="1">
      <alignment horizontal="left" vertical="center" wrapText="1" indent="1"/>
    </xf>
    <xf numFmtId="0" fontId="108" fillId="2" borderId="1" xfId="0" applyFont="1" applyFill="1" applyBorder="1" applyAlignment="1">
      <alignment horizontal="left" vertical="center" wrapText="1" indent="1"/>
    </xf>
    <xf numFmtId="0" fontId="68" fillId="3" borderId="1" xfId="0" applyFont="1" applyFill="1" applyBorder="1" applyAlignment="1">
      <alignment horizontal="left" vertical="center" wrapText="1" indent="1"/>
    </xf>
    <xf numFmtId="0" fontId="68" fillId="2" borderId="2" xfId="0" applyFont="1" applyFill="1" applyBorder="1" applyAlignment="1">
      <alignment horizontal="left" vertical="center" wrapText="1" indent="1"/>
    </xf>
    <xf numFmtId="0" fontId="85" fillId="5" borderId="23" xfId="0" applyFont="1" applyFill="1" applyBorder="1" applyAlignment="1">
      <alignment horizontal="center" vertical="center" wrapText="1"/>
    </xf>
    <xf numFmtId="0" fontId="85" fillId="5" borderId="1" xfId="0" applyFont="1" applyFill="1" applyBorder="1" applyAlignment="1">
      <alignment horizontal="center" vertical="center" wrapText="1"/>
    </xf>
    <xf numFmtId="166" fontId="14" fillId="7" borderId="0" xfId="0" applyNumberFormat="1" applyFont="1" applyFill="1" applyAlignment="1" applyProtection="1">
      <alignment horizontal="left" vertical="center"/>
      <protection locked="0"/>
    </xf>
    <xf numFmtId="0" fontId="17" fillId="2" borderId="23" xfId="0" applyFont="1" applyFill="1" applyBorder="1" applyAlignment="1">
      <alignment vertical="center" wrapText="1"/>
    </xf>
    <xf numFmtId="0" fontId="18" fillId="0" borderId="0" xfId="0" applyFont="1" applyAlignment="1">
      <alignment horizontal="center" wrapText="1"/>
    </xf>
    <xf numFmtId="0" fontId="120" fillId="0" borderId="0" xfId="0" applyFont="1"/>
    <xf numFmtId="0" fontId="17" fillId="2" borderId="26" xfId="0" applyFont="1" applyFill="1" applyBorder="1" applyAlignment="1">
      <alignment vertical="center" wrapText="1"/>
    </xf>
    <xf numFmtId="0" fontId="25" fillId="0" borderId="27" xfId="0" applyFont="1" applyBorder="1"/>
    <xf numFmtId="0" fontId="18" fillId="3" borderId="23" xfId="0" applyFont="1" applyFill="1" applyBorder="1" applyAlignment="1">
      <alignment vertical="center" wrapText="1"/>
    </xf>
    <xf numFmtId="0" fontId="18" fillId="3" borderId="26" xfId="0" applyFont="1" applyFill="1" applyBorder="1" applyAlignment="1">
      <alignment vertical="center" wrapText="1"/>
    </xf>
    <xf numFmtId="0" fontId="25" fillId="0" borderId="23" xfId="0" applyFont="1" applyBorder="1" applyAlignment="1">
      <alignment vertical="center" wrapText="1"/>
    </xf>
    <xf numFmtId="0" fontId="25" fillId="0" borderId="26" xfId="0" applyFont="1" applyBorder="1" applyAlignment="1" applyProtection="1">
      <alignment vertical="center" wrapText="1"/>
      <protection locked="0"/>
    </xf>
    <xf numFmtId="0" fontId="25" fillId="3" borderId="23" xfId="0" applyFont="1" applyFill="1" applyBorder="1" applyAlignment="1">
      <alignment vertical="center" wrapText="1"/>
    </xf>
    <xf numFmtId="0" fontId="25" fillId="0" borderId="23" xfId="0" applyFont="1" applyBorder="1" applyAlignment="1">
      <alignment wrapText="1"/>
    </xf>
    <xf numFmtId="0" fontId="18" fillId="0" borderId="31" xfId="0" applyFont="1" applyBorder="1"/>
    <xf numFmtId="0" fontId="18" fillId="0" borderId="41" xfId="0" applyFont="1" applyBorder="1" applyAlignment="1">
      <alignment wrapText="1"/>
    </xf>
    <xf numFmtId="0" fontId="121" fillId="0" borderId="0" xfId="0" applyFont="1" applyAlignment="1">
      <alignment vertical="center" wrapText="1"/>
    </xf>
    <xf numFmtId="0" fontId="122" fillId="13" borderId="0" xfId="0" applyFont="1" applyFill="1" applyAlignment="1">
      <alignment horizontal="center" vertical="center"/>
    </xf>
    <xf numFmtId="0" fontId="22" fillId="0" borderId="0" xfId="0" applyFont="1" applyAlignment="1">
      <alignment horizontal="left" vertical="center" indent="1"/>
    </xf>
    <xf numFmtId="0" fontId="22" fillId="0" borderId="0" xfId="0" applyFont="1" applyAlignment="1">
      <alignment horizontal="left" vertical="center" indent="3"/>
    </xf>
    <xf numFmtId="0" fontId="46" fillId="0" borderId="0" xfId="0" applyFont="1" applyAlignment="1">
      <alignment horizontal="center" vertical="top" wrapText="1"/>
    </xf>
    <xf numFmtId="0" fontId="46" fillId="0" borderId="0" xfId="0" applyFont="1" applyAlignment="1">
      <alignment vertical="top" wrapText="1"/>
    </xf>
    <xf numFmtId="49" fontId="25" fillId="0" borderId="0" xfId="0" applyNumberFormat="1" applyFont="1"/>
    <xf numFmtId="49" fontId="9" fillId="2" borderId="1" xfId="0" applyNumberFormat="1" applyFont="1" applyFill="1" applyBorder="1" applyAlignment="1">
      <alignment horizontal="justify" vertical="center" wrapText="1"/>
    </xf>
    <xf numFmtId="49" fontId="9" fillId="2" borderId="1" xfId="0" applyNumberFormat="1" applyFont="1" applyFill="1" applyBorder="1" applyAlignment="1">
      <alignment horizontal="left" vertical="center" wrapText="1"/>
    </xf>
    <xf numFmtId="49" fontId="9" fillId="2" borderId="1" xfId="0" applyNumberFormat="1" applyFont="1" applyFill="1" applyBorder="1" applyAlignment="1">
      <alignment vertical="center" wrapText="1"/>
    </xf>
    <xf numFmtId="49" fontId="9" fillId="0" borderId="1" xfId="0" applyNumberFormat="1" applyFont="1" applyBorder="1" applyAlignment="1">
      <alignment horizontal="left" vertical="center" wrapText="1"/>
    </xf>
    <xf numFmtId="0" fontId="125" fillId="0" borderId="1" xfId="0" applyFont="1" applyBorder="1" applyAlignment="1">
      <alignment vertical="top"/>
    </xf>
    <xf numFmtId="49" fontId="9" fillId="0" borderId="1" xfId="0" applyNumberFormat="1" applyFont="1" applyBorder="1" applyAlignment="1">
      <alignment vertical="center" wrapText="1"/>
    </xf>
    <xf numFmtId="49" fontId="18" fillId="0" borderId="0" xfId="0" applyNumberFormat="1" applyFont="1" applyAlignment="1">
      <alignment vertical="center" wrapText="1"/>
    </xf>
    <xf numFmtId="0" fontId="125" fillId="0" borderId="1" xfId="0" applyFont="1" applyBorder="1" applyAlignment="1">
      <alignment horizontal="left" vertical="top" indent="2"/>
    </xf>
    <xf numFmtId="49" fontId="9" fillId="2" borderId="2" xfId="0" applyNumberFormat="1" applyFont="1" applyFill="1" applyBorder="1" applyAlignment="1">
      <alignment vertical="center" wrapText="1"/>
    </xf>
    <xf numFmtId="165" fontId="25" fillId="0" borderId="0" xfId="9" applyFont="1" applyAlignment="1" applyProtection="1">
      <alignment vertical="center"/>
    </xf>
    <xf numFmtId="0" fontId="25" fillId="0" borderId="29" xfId="0" applyFont="1" applyBorder="1" applyAlignment="1">
      <alignment vertical="center"/>
    </xf>
    <xf numFmtId="0" fontId="25" fillId="0" borderId="31" xfId="0" applyFont="1" applyBorder="1" applyAlignment="1">
      <alignment vertical="center"/>
    </xf>
    <xf numFmtId="166" fontId="9" fillId="12" borderId="18" xfId="0" applyNumberFormat="1" applyFont="1" applyFill="1" applyBorder="1" applyAlignment="1">
      <alignment vertical="center"/>
    </xf>
    <xf numFmtId="166" fontId="9" fillId="0" borderId="0" xfId="0" applyNumberFormat="1" applyFont="1" applyAlignment="1">
      <alignment horizontal="left" vertical="center"/>
    </xf>
    <xf numFmtId="49" fontId="42" fillId="15" borderId="27" xfId="0" applyNumberFormat="1" applyFont="1" applyFill="1" applyBorder="1" applyAlignment="1">
      <alignment horizontal="left" vertical="center"/>
    </xf>
    <xf numFmtId="49" fontId="42" fillId="15" borderId="27" xfId="0" applyNumberFormat="1" applyFont="1" applyFill="1" applyBorder="1" applyAlignment="1">
      <alignment horizontal="left" vertical="center" wrapText="1"/>
    </xf>
    <xf numFmtId="49" fontId="42" fillId="15" borderId="1" xfId="0" applyNumberFormat="1" applyFont="1" applyFill="1" applyBorder="1" applyAlignment="1" applyProtection="1">
      <alignment horizontal="left" vertical="center" wrapText="1"/>
      <protection locked="0"/>
    </xf>
    <xf numFmtId="49" fontId="42" fillId="15" borderId="35" xfId="0" applyNumberFormat="1" applyFont="1" applyFill="1" applyBorder="1" applyAlignment="1">
      <alignment horizontal="left" vertical="center"/>
    </xf>
    <xf numFmtId="49" fontId="42" fillId="15" borderId="35" xfId="0" applyNumberFormat="1" applyFont="1" applyFill="1" applyBorder="1" applyAlignment="1">
      <alignment horizontal="left" vertical="center" wrapText="1"/>
    </xf>
    <xf numFmtId="49" fontId="42" fillId="15" borderId="12" xfId="0" applyNumberFormat="1" applyFont="1" applyFill="1" applyBorder="1" applyAlignment="1">
      <alignment horizontal="left" vertical="center" wrapText="1"/>
    </xf>
    <xf numFmtId="49" fontId="42" fillId="15" borderId="12" xfId="0" applyNumberFormat="1" applyFont="1" applyFill="1" applyBorder="1" applyAlignment="1" applyProtection="1">
      <alignment horizontal="left" vertical="center" wrapText="1"/>
      <protection locked="0"/>
    </xf>
    <xf numFmtId="9" fontId="25" fillId="0" borderId="0" xfId="8" applyFont="1" applyBorder="1" applyAlignment="1" applyProtection="1">
      <alignment horizontal="center"/>
    </xf>
    <xf numFmtId="49" fontId="25" fillId="0" borderId="0" xfId="0" applyNumberFormat="1" applyFont="1" applyAlignment="1">
      <alignment vertical="top"/>
    </xf>
    <xf numFmtId="0" fontId="25" fillId="0" borderId="0" xfId="0" applyFont="1" applyAlignment="1">
      <alignment vertical="top"/>
    </xf>
    <xf numFmtId="0" fontId="41" fillId="0" borderId="0" xfId="0" applyFont="1" applyAlignment="1">
      <alignment horizontal="center" vertical="center" wrapText="1"/>
    </xf>
    <xf numFmtId="0" fontId="47" fillId="0" borderId="0" xfId="0" applyFont="1" applyAlignment="1">
      <alignment horizontal="left" wrapText="1"/>
    </xf>
    <xf numFmtId="0" fontId="18" fillId="0" borderId="0" xfId="0" applyFont="1" applyAlignment="1">
      <alignment horizontal="left" vertical="top" wrapText="1"/>
    </xf>
    <xf numFmtId="0" fontId="18" fillId="0" borderId="0" xfId="0" applyFont="1" applyAlignment="1">
      <alignment horizontal="left"/>
    </xf>
    <xf numFmtId="166" fontId="47" fillId="0" borderId="0" xfId="0" applyNumberFormat="1" applyFont="1" applyAlignment="1">
      <alignment horizontal="left" vertical="top" wrapText="1"/>
    </xf>
    <xf numFmtId="0" fontId="41" fillId="0" borderId="0" xfId="0" applyFont="1" applyAlignment="1">
      <alignment horizontal="center" vertical="top" wrapText="1"/>
    </xf>
    <xf numFmtId="0" fontId="21" fillId="0" borderId="0" xfId="0" applyFont="1" applyAlignment="1">
      <alignment vertical="top"/>
    </xf>
    <xf numFmtId="0" fontId="21" fillId="0" borderId="29" xfId="0" applyFont="1" applyBorder="1" applyAlignment="1">
      <alignment vertical="top"/>
    </xf>
    <xf numFmtId="0" fontId="25" fillId="0" borderId="29" xfId="0" applyFont="1" applyBorder="1" applyAlignment="1">
      <alignment vertical="top"/>
    </xf>
    <xf numFmtId="0" fontId="26" fillId="0" borderId="29" xfId="0" applyFont="1" applyBorder="1" applyAlignment="1">
      <alignment vertical="top"/>
    </xf>
    <xf numFmtId="0" fontId="25" fillId="0" borderId="24" xfId="0" applyFont="1" applyBorder="1" applyAlignment="1">
      <alignment vertical="top"/>
    </xf>
    <xf numFmtId="0" fontId="10" fillId="13" borderId="34" xfId="0" applyFont="1" applyFill="1" applyBorder="1" applyAlignment="1">
      <alignment horizontal="left" vertical="center" wrapText="1"/>
    </xf>
    <xf numFmtId="0" fontId="26" fillId="14" borderId="50" xfId="0" applyFont="1" applyFill="1" applyBorder="1" applyAlignment="1">
      <alignment horizontal="left" vertical="center" wrapText="1"/>
    </xf>
    <xf numFmtId="0" fontId="21" fillId="14" borderId="50" xfId="0" applyFont="1" applyFill="1" applyBorder="1" applyAlignment="1">
      <alignment wrapText="1"/>
    </xf>
    <xf numFmtId="0" fontId="21" fillId="3" borderId="35" xfId="0" applyFont="1" applyFill="1" applyBorder="1" applyAlignment="1">
      <alignment horizontal="left" wrapText="1"/>
    </xf>
    <xf numFmtId="0" fontId="21" fillId="14" borderId="50" xfId="0" applyFont="1" applyFill="1" applyBorder="1" applyAlignment="1">
      <alignment vertical="top" wrapText="1"/>
    </xf>
    <xf numFmtId="0" fontId="21" fillId="3" borderId="35" xfId="0" applyFont="1" applyFill="1" applyBorder="1" applyAlignment="1">
      <alignment horizontal="left" vertical="top" wrapText="1"/>
    </xf>
    <xf numFmtId="0" fontId="8" fillId="3" borderId="34" xfId="0" applyFont="1" applyFill="1" applyBorder="1" applyAlignment="1">
      <alignment wrapText="1"/>
    </xf>
    <xf numFmtId="0" fontId="21" fillId="3" borderId="50" xfId="0" applyFont="1" applyFill="1" applyBorder="1" applyAlignment="1">
      <alignment wrapText="1"/>
    </xf>
    <xf numFmtId="0" fontId="8" fillId="3" borderId="50" xfId="0" applyFont="1" applyFill="1" applyBorder="1" applyAlignment="1">
      <alignment vertical="center" wrapText="1"/>
    </xf>
    <xf numFmtId="0" fontId="21" fillId="3" borderId="35" xfId="0" applyFont="1" applyFill="1" applyBorder="1" applyAlignment="1">
      <alignment horizontal="left" vertical="center" wrapText="1"/>
    </xf>
    <xf numFmtId="0" fontId="8" fillId="3" borderId="50" xfId="0" applyFont="1" applyFill="1" applyBorder="1" applyAlignment="1">
      <alignment wrapText="1"/>
    </xf>
    <xf numFmtId="0" fontId="21" fillId="14" borderId="50" xfId="0" applyFont="1" applyFill="1" applyBorder="1" applyAlignment="1">
      <alignment horizontal="left" vertical="center" wrapText="1"/>
    </xf>
    <xf numFmtId="0" fontId="13" fillId="13" borderId="34" xfId="0" applyFont="1" applyFill="1" applyBorder="1" applyAlignment="1">
      <alignment wrapText="1"/>
    </xf>
    <xf numFmtId="0" fontId="93" fillId="14" borderId="50" xfId="0" applyFont="1" applyFill="1" applyBorder="1" applyAlignment="1">
      <alignment wrapText="1"/>
    </xf>
    <xf numFmtId="0" fontId="93" fillId="3" borderId="35" xfId="0" applyFont="1" applyFill="1" applyBorder="1" applyAlignment="1">
      <alignment horizontal="left" wrapText="1"/>
    </xf>
    <xf numFmtId="0" fontId="130" fillId="0" borderId="27" xfId="0" applyFont="1" applyBorder="1" applyAlignment="1">
      <alignment vertical="center" wrapText="1"/>
    </xf>
    <xf numFmtId="0" fontId="15" fillId="13" borderId="65" xfId="0" applyFont="1" applyFill="1" applyBorder="1" applyAlignment="1">
      <alignment vertical="top"/>
    </xf>
    <xf numFmtId="0" fontId="15" fillId="14" borderId="66" xfId="0" applyFont="1" applyFill="1" applyBorder="1" applyAlignment="1">
      <alignment vertical="top"/>
    </xf>
    <xf numFmtId="0" fontId="113" fillId="3" borderId="51" xfId="0" applyFont="1" applyFill="1" applyBorder="1" applyAlignment="1">
      <alignment vertical="top" wrapText="1"/>
    </xf>
    <xf numFmtId="1" fontId="132" fillId="0" borderId="0" xfId="0" applyNumberFormat="1" applyFont="1" applyAlignment="1">
      <alignment horizontal="right"/>
    </xf>
    <xf numFmtId="0" fontId="102" fillId="0" borderId="28" xfId="0" applyFont="1" applyBorder="1" applyAlignment="1">
      <alignment horizontal="center" vertical="center" wrapText="1"/>
    </xf>
    <xf numFmtId="0" fontId="42" fillId="0" borderId="7" xfId="0" applyFont="1" applyBorder="1" applyAlignment="1">
      <alignment horizontal="center" vertical="center" wrapText="1"/>
    </xf>
    <xf numFmtId="0" fontId="102" fillId="0" borderId="0" xfId="0" applyFont="1" applyAlignment="1">
      <alignment horizontal="center" vertical="center" wrapText="1"/>
    </xf>
    <xf numFmtId="0" fontId="102" fillId="0" borderId="30" xfId="0" applyFont="1" applyBorder="1" applyAlignment="1">
      <alignment horizontal="center" vertical="center" wrapText="1"/>
    </xf>
    <xf numFmtId="0" fontId="102" fillId="0" borderId="44" xfId="0" applyFont="1" applyBorder="1" applyAlignment="1">
      <alignment vertical="center" wrapText="1"/>
    </xf>
    <xf numFmtId="0" fontId="102" fillId="0" borderId="24" xfId="0" applyFont="1" applyBorder="1" applyAlignment="1">
      <alignment vertical="center" wrapText="1"/>
    </xf>
    <xf numFmtId="166" fontId="14" fillId="12" borderId="16" xfId="0" applyNumberFormat="1" applyFont="1" applyFill="1" applyBorder="1" applyAlignment="1">
      <alignment vertical="center"/>
    </xf>
    <xf numFmtId="166" fontId="9" fillId="12" borderId="16" xfId="0" applyNumberFormat="1" applyFont="1" applyFill="1" applyBorder="1" applyAlignment="1">
      <alignment vertical="center"/>
    </xf>
    <xf numFmtId="0" fontId="21" fillId="0" borderId="16" xfId="0" applyFont="1" applyBorder="1"/>
    <xf numFmtId="0" fontId="101" fillId="13" borderId="63" xfId="0" applyFont="1" applyFill="1" applyBorder="1" applyAlignment="1">
      <alignment vertical="top" wrapText="1"/>
    </xf>
    <xf numFmtId="0" fontId="101" fillId="14" borderId="59" xfId="0" applyFont="1" applyFill="1" applyBorder="1" applyAlignment="1">
      <alignment vertical="top" wrapText="1"/>
    </xf>
    <xf numFmtId="0" fontId="101" fillId="3" borderId="64" xfId="0" applyFont="1" applyFill="1" applyBorder="1" applyAlignment="1">
      <alignment horizontal="left" vertical="top" wrapText="1"/>
    </xf>
    <xf numFmtId="166" fontId="14" fillId="12" borderId="18" xfId="0" applyNumberFormat="1" applyFont="1" applyFill="1" applyBorder="1" applyAlignment="1">
      <alignment vertical="center"/>
    </xf>
    <xf numFmtId="0" fontId="94" fillId="3" borderId="50" xfId="0" applyFont="1" applyFill="1" applyBorder="1" applyAlignment="1">
      <alignment wrapText="1"/>
    </xf>
    <xf numFmtId="0" fontId="81" fillId="15" borderId="51" xfId="0" applyFont="1" applyFill="1" applyBorder="1" applyAlignment="1">
      <alignment horizontal="left" vertical="center"/>
    </xf>
    <xf numFmtId="0" fontId="133" fillId="0" borderId="39" xfId="0" applyFont="1" applyBorder="1" applyAlignment="1">
      <alignment vertical="top"/>
    </xf>
    <xf numFmtId="0" fontId="133" fillId="0" borderId="29" xfId="0" applyFont="1" applyBorder="1" applyAlignment="1">
      <alignment vertical="top"/>
    </xf>
    <xf numFmtId="0" fontId="18" fillId="0" borderId="31" xfId="0" applyFont="1" applyBorder="1" applyAlignment="1">
      <alignment vertical="top" wrapText="1"/>
    </xf>
    <xf numFmtId="0" fontId="25" fillId="0" borderId="0" xfId="0" applyFont="1" applyAlignment="1">
      <alignment horizontal="left" vertical="top" wrapText="1"/>
    </xf>
    <xf numFmtId="0" fontId="89" fillId="3" borderId="27" xfId="0" applyFont="1" applyFill="1" applyBorder="1" applyAlignment="1">
      <alignment wrapText="1"/>
    </xf>
    <xf numFmtId="166" fontId="19" fillId="0" borderId="0" xfId="0" applyNumberFormat="1" applyFont="1" applyAlignment="1">
      <alignment wrapText="1"/>
    </xf>
    <xf numFmtId="0" fontId="19" fillId="0" borderId="0" xfId="0" applyFont="1" applyAlignment="1">
      <alignment horizontal="left" vertical="top" wrapText="1"/>
    </xf>
    <xf numFmtId="0" fontId="22" fillId="12" borderId="0" xfId="0" applyFont="1" applyFill="1" applyAlignment="1">
      <alignment horizontal="left"/>
    </xf>
    <xf numFmtId="0" fontId="21" fillId="12" borderId="0" xfId="0" applyFont="1" applyFill="1"/>
    <xf numFmtId="0" fontId="21" fillId="12" borderId="0" xfId="0" applyFont="1" applyFill="1" applyAlignment="1">
      <alignment horizontal="left"/>
    </xf>
    <xf numFmtId="0" fontId="46" fillId="12" borderId="0" xfId="0" applyFont="1" applyFill="1" applyAlignment="1">
      <alignment wrapText="1"/>
    </xf>
    <xf numFmtId="49" fontId="25" fillId="12" borderId="0" xfId="0" applyNumberFormat="1" applyFont="1" applyFill="1"/>
    <xf numFmtId="0" fontId="19" fillId="0" borderId="0" xfId="0" applyFont="1" applyAlignment="1">
      <alignment horizontal="left" wrapText="1"/>
    </xf>
    <xf numFmtId="0" fontId="10" fillId="3" borderId="34" xfId="0" applyFont="1" applyFill="1" applyBorder="1" applyAlignment="1">
      <alignment vertical="top" wrapText="1"/>
    </xf>
    <xf numFmtId="0" fontId="75" fillId="0" borderId="0" xfId="0" applyFont="1" applyAlignment="1">
      <alignment horizontal="center"/>
    </xf>
    <xf numFmtId="0" fontId="8" fillId="0" borderId="0" xfId="0" applyFont="1" applyAlignment="1">
      <alignment vertical="center" wrapText="1"/>
    </xf>
    <xf numFmtId="0" fontId="21" fillId="0" borderId="0" xfId="0" applyFont="1" applyAlignment="1">
      <alignment horizontal="left" vertical="center" wrapText="1"/>
    </xf>
    <xf numFmtId="0" fontId="41" fillId="0" borderId="0" xfId="0" applyFont="1" applyAlignment="1">
      <alignment horizontal="center"/>
    </xf>
    <xf numFmtId="0" fontId="19" fillId="0" borderId="0" xfId="0" applyFont="1" applyAlignment="1">
      <alignment horizontal="left"/>
    </xf>
    <xf numFmtId="0" fontId="101" fillId="13" borderId="67" xfId="0" applyFont="1" applyFill="1" applyBorder="1" applyAlignment="1">
      <alignment vertical="top" wrapText="1"/>
    </xf>
    <xf numFmtId="0" fontId="94" fillId="3" borderId="27" xfId="0" applyFont="1" applyFill="1" applyBorder="1" applyAlignment="1">
      <alignment wrapText="1"/>
    </xf>
    <xf numFmtId="0" fontId="8" fillId="13" borderId="27" xfId="0" applyFont="1" applyFill="1" applyBorder="1" applyAlignment="1">
      <alignment wrapText="1"/>
    </xf>
    <xf numFmtId="0" fontId="8" fillId="13" borderId="27" xfId="0" applyFont="1" applyFill="1" applyBorder="1" applyAlignment="1">
      <alignment vertical="top" wrapText="1"/>
    </xf>
    <xf numFmtId="0" fontId="8" fillId="3" borderId="27" xfId="0" applyFont="1" applyFill="1" applyBorder="1" applyAlignment="1">
      <alignment wrapText="1"/>
    </xf>
    <xf numFmtId="0" fontId="8" fillId="3" borderId="27" xfId="0" applyFont="1" applyFill="1" applyBorder="1" applyAlignment="1">
      <alignment vertical="center" wrapText="1"/>
    </xf>
    <xf numFmtId="0" fontId="13" fillId="13" borderId="27" xfId="0" applyFont="1" applyFill="1" applyBorder="1" applyAlignment="1">
      <alignment wrapText="1"/>
    </xf>
    <xf numFmtId="0" fontId="8" fillId="13" borderId="27" xfId="0" applyFont="1" applyFill="1" applyBorder="1" applyAlignment="1">
      <alignment horizontal="left" vertical="center" wrapText="1"/>
    </xf>
    <xf numFmtId="0" fontId="10" fillId="0" borderId="34" xfId="0" applyFont="1" applyBorder="1" applyAlignment="1">
      <alignment vertical="center" wrapText="1"/>
    </xf>
    <xf numFmtId="0" fontId="26" fillId="0" borderId="50" xfId="0" applyFont="1" applyBorder="1" applyAlignment="1">
      <alignment vertical="center" wrapText="1"/>
    </xf>
    <xf numFmtId="0" fontId="102" fillId="0" borderId="35" xfId="0" applyFont="1" applyBorder="1" applyAlignment="1">
      <alignment horizontal="left" vertical="center" wrapText="1"/>
    </xf>
    <xf numFmtId="0" fontId="19" fillId="0" borderId="0" xfId="0" applyFont="1" applyAlignment="1">
      <alignment horizontal="center" wrapText="1"/>
    </xf>
    <xf numFmtId="0" fontId="18" fillId="0" borderId="0" xfId="0" applyFont="1" applyAlignment="1">
      <alignment horizontal="left" wrapText="1"/>
    </xf>
    <xf numFmtId="0" fontId="18" fillId="0" borderId="0" xfId="0" applyFont="1" applyAlignment="1">
      <alignment horizontal="right" vertical="center"/>
    </xf>
    <xf numFmtId="0" fontId="25" fillId="0" borderId="0" xfId="0" applyFont="1" applyAlignment="1">
      <alignment horizontal="left" vertical="center"/>
    </xf>
    <xf numFmtId="0" fontId="127" fillId="0" borderId="0" xfId="0" applyFont="1" applyAlignment="1">
      <alignment wrapText="1"/>
    </xf>
    <xf numFmtId="0" fontId="128" fillId="0" borderId="0" xfId="0" applyFont="1" applyAlignment="1">
      <alignment vertical="center"/>
    </xf>
    <xf numFmtId="0" fontId="82" fillId="0" borderId="18" xfId="0" applyFont="1" applyBorder="1" applyAlignment="1">
      <alignment vertical="center" wrapText="1"/>
    </xf>
    <xf numFmtId="0" fontId="17" fillId="0" borderId="13" xfId="0" applyFont="1" applyBorder="1" applyAlignment="1">
      <alignment vertical="center" wrapText="1"/>
    </xf>
    <xf numFmtId="0" fontId="113" fillId="0" borderId="13" xfId="0" applyFont="1" applyBorder="1" applyAlignment="1">
      <alignment vertical="center" wrapText="1"/>
    </xf>
    <xf numFmtId="0" fontId="93" fillId="0" borderId="13" xfId="0" applyFont="1" applyBorder="1" applyAlignment="1">
      <alignment vertical="center" wrapText="1"/>
    </xf>
    <xf numFmtId="0" fontId="93" fillId="0" borderId="29" xfId="0" applyFont="1" applyBorder="1" applyAlignment="1">
      <alignment vertical="center" wrapText="1"/>
    </xf>
    <xf numFmtId="0" fontId="126" fillId="0" borderId="0" xfId="0" applyFont="1" applyAlignment="1">
      <alignment wrapText="1"/>
    </xf>
    <xf numFmtId="0" fontId="113" fillId="0" borderId="31" xfId="0" applyFont="1" applyBorder="1" applyAlignment="1">
      <alignment vertical="center" wrapText="1"/>
    </xf>
    <xf numFmtId="0" fontId="126" fillId="0" borderId="29" xfId="0" applyFont="1" applyBorder="1" applyAlignment="1">
      <alignment wrapText="1"/>
    </xf>
    <xf numFmtId="0" fontId="25" fillId="0" borderId="31" xfId="0" applyFont="1" applyBorder="1" applyAlignment="1">
      <alignment horizontal="left" vertical="top" wrapText="1"/>
    </xf>
    <xf numFmtId="0" fontId="93" fillId="0" borderId="31" xfId="0" applyFont="1" applyBorder="1" applyAlignment="1">
      <alignment vertical="center" wrapText="1"/>
    </xf>
    <xf numFmtId="0" fontId="21" fillId="0" borderId="0" xfId="0" applyFont="1" applyAlignment="1">
      <alignment horizontal="left" vertical="top" wrapText="1"/>
    </xf>
    <xf numFmtId="0" fontId="45" fillId="0" borderId="0" xfId="0" applyFont="1" applyAlignment="1">
      <alignment horizontal="left" vertical="top" wrapText="1"/>
    </xf>
    <xf numFmtId="0" fontId="93" fillId="0" borderId="0" xfId="0" applyFont="1" applyAlignment="1">
      <alignment vertical="center" wrapText="1"/>
    </xf>
    <xf numFmtId="0" fontId="18" fillId="0" borderId="31" xfId="0" applyFont="1" applyBorder="1" applyAlignment="1">
      <alignment vertical="center" wrapText="1"/>
    </xf>
    <xf numFmtId="0" fontId="127" fillId="0" borderId="27" xfId="0" applyFont="1" applyBorder="1"/>
    <xf numFmtId="0" fontId="127" fillId="0" borderId="27" xfId="0" applyFont="1" applyBorder="1" applyAlignment="1">
      <alignment horizontal="left" indent="1"/>
    </xf>
    <xf numFmtId="0" fontId="93" fillId="3" borderId="35" xfId="0" applyFont="1" applyFill="1" applyBorder="1" applyAlignment="1">
      <alignment horizontal="left" vertical="top" wrapText="1"/>
    </xf>
    <xf numFmtId="0" fontId="138" fillId="0" borderId="0" xfId="0" applyFont="1" applyAlignment="1">
      <alignment vertical="center"/>
    </xf>
    <xf numFmtId="0" fontId="134" fillId="0" borderId="42" xfId="0" applyFont="1" applyBorder="1" applyAlignment="1">
      <alignment vertical="top"/>
    </xf>
    <xf numFmtId="0" fontId="8" fillId="0" borderId="0" xfId="0" applyFont="1"/>
    <xf numFmtId="9" fontId="11" fillId="0" borderId="0" xfId="8" applyFont="1" applyBorder="1" applyAlignment="1" applyProtection="1">
      <alignment horizontal="center"/>
    </xf>
    <xf numFmtId="0" fontId="11" fillId="0" borderId="0" xfId="0" applyFont="1" applyAlignment="1">
      <alignment vertical="center"/>
    </xf>
    <xf numFmtId="0" fontId="139" fillId="0" borderId="0" xfId="0" applyFont="1" applyAlignment="1">
      <alignment vertical="center"/>
    </xf>
    <xf numFmtId="0" fontId="115" fillId="0" borderId="0" xfId="0" applyFont="1"/>
    <xf numFmtId="0" fontId="137" fillId="0" borderId="42" xfId="0" applyFont="1" applyBorder="1" applyAlignment="1">
      <alignment horizontal="left" vertical="center"/>
    </xf>
    <xf numFmtId="0" fontId="137" fillId="0" borderId="0" xfId="0" applyFont="1" applyAlignment="1">
      <alignment horizontal="left" vertical="center"/>
    </xf>
    <xf numFmtId="0" fontId="137" fillId="0" borderId="0" xfId="0" applyFont="1" applyAlignment="1">
      <alignment horizontal="left" vertical="center" wrapText="1"/>
    </xf>
    <xf numFmtId="0" fontId="137" fillId="0" borderId="27" xfId="0" applyFont="1" applyBorder="1" applyAlignment="1">
      <alignment vertical="center" wrapText="1"/>
    </xf>
    <xf numFmtId="0" fontId="27" fillId="0" borderId="0" xfId="0" applyFont="1" applyAlignment="1">
      <alignment horizontal="left" vertical="center"/>
    </xf>
    <xf numFmtId="0" fontId="115" fillId="13" borderId="34" xfId="0" applyFont="1" applyFill="1" applyBorder="1" applyAlignment="1">
      <alignment horizontal="left" vertical="center" wrapText="1"/>
    </xf>
    <xf numFmtId="0" fontId="27" fillId="14" borderId="50" xfId="0" applyFont="1" applyFill="1" applyBorder="1" applyAlignment="1">
      <alignment horizontal="left" vertical="center" wrapText="1"/>
    </xf>
    <xf numFmtId="0" fontId="130" fillId="0" borderId="27" xfId="0" applyFont="1" applyBorder="1" applyAlignment="1">
      <alignment vertical="center"/>
    </xf>
    <xf numFmtId="0" fontId="141" fillId="0" borderId="1" xfId="0" applyFont="1" applyBorder="1" applyAlignment="1">
      <alignment vertical="center" wrapText="1"/>
    </xf>
    <xf numFmtId="0" fontId="143" fillId="0" borderId="18" xfId="0" applyFont="1" applyBorder="1" applyAlignment="1">
      <alignment vertical="center" wrapText="1"/>
    </xf>
    <xf numFmtId="0" fontId="142" fillId="0" borderId="0" xfId="0" applyFont="1" applyAlignment="1">
      <alignment horizontal="left" vertical="top" wrapText="1"/>
    </xf>
    <xf numFmtId="0" fontId="142" fillId="0" borderId="0" xfId="0" applyFont="1" applyAlignment="1">
      <alignment horizontal="left" wrapText="1"/>
    </xf>
    <xf numFmtId="14" fontId="142" fillId="0" borderId="0" xfId="0" applyNumberFormat="1" applyFont="1" applyAlignment="1">
      <alignment horizontal="left" wrapText="1"/>
    </xf>
    <xf numFmtId="0" fontId="142" fillId="3" borderId="1" xfId="0" applyFont="1" applyFill="1" applyBorder="1" applyAlignment="1">
      <alignment vertical="center" wrapText="1"/>
    </xf>
    <xf numFmtId="0" fontId="142" fillId="2" borderId="1" xfId="0" applyFont="1" applyFill="1" applyBorder="1" applyAlignment="1">
      <alignment horizontal="justify" vertical="center" wrapText="1"/>
    </xf>
    <xf numFmtId="0" fontId="144" fillId="2" borderId="1" xfId="0" applyFont="1" applyFill="1" applyBorder="1" applyAlignment="1">
      <alignment horizontal="justify" vertical="center" wrapText="1"/>
    </xf>
    <xf numFmtId="0" fontId="144" fillId="0" borderId="1" xfId="0" applyFont="1" applyBorder="1" applyAlignment="1">
      <alignment horizontal="justify" vertical="center" wrapText="1"/>
    </xf>
    <xf numFmtId="0" fontId="144" fillId="2" borderId="1" xfId="0" applyFont="1" applyFill="1" applyBorder="1" applyAlignment="1">
      <alignment vertical="center" wrapText="1"/>
    </xf>
    <xf numFmtId="0" fontId="142" fillId="0" borderId="1" xfId="0" applyFont="1" applyBorder="1" applyAlignment="1">
      <alignment vertical="center" wrapText="1"/>
    </xf>
    <xf numFmtId="0" fontId="70" fillId="2" borderId="1" xfId="0" applyFont="1" applyFill="1" applyBorder="1" applyAlignment="1">
      <alignment horizontal="justify" vertical="center" wrapText="1"/>
    </xf>
    <xf numFmtId="0" fontId="70" fillId="0" borderId="1" xfId="0" applyFont="1" applyBorder="1" applyAlignment="1">
      <alignment vertical="center" wrapText="1"/>
    </xf>
    <xf numFmtId="0" fontId="144" fillId="0" borderId="1" xfId="0" applyFont="1" applyBorder="1" applyAlignment="1">
      <alignment vertical="center" wrapText="1"/>
    </xf>
    <xf numFmtId="0" fontId="142" fillId="2" borderId="1" xfId="0" applyFont="1" applyFill="1" applyBorder="1" applyAlignment="1">
      <alignment vertical="center" wrapText="1"/>
    </xf>
    <xf numFmtId="0" fontId="144" fillId="2" borderId="2" xfId="0" applyFont="1" applyFill="1" applyBorder="1" applyAlignment="1">
      <alignment vertical="center" wrapText="1"/>
    </xf>
    <xf numFmtId="0" fontId="70" fillId="0" borderId="1" xfId="0" applyFont="1" applyBorder="1" applyAlignment="1">
      <alignment horizontal="justify" vertical="center" wrapText="1"/>
    </xf>
    <xf numFmtId="0" fontId="142" fillId="2" borderId="1" xfId="0" applyFont="1" applyFill="1" applyBorder="1" applyAlignment="1">
      <alignment horizontal="left" vertical="center" wrapText="1"/>
    </xf>
    <xf numFmtId="0" fontId="144" fillId="16" borderId="1" xfId="0" applyFont="1" applyFill="1" applyBorder="1" applyAlignment="1">
      <alignment horizontal="justify" vertical="center" wrapText="1"/>
    </xf>
    <xf numFmtId="0" fontId="142" fillId="0" borderId="1" xfId="0" applyFont="1" applyBorder="1" applyAlignment="1">
      <alignment horizontal="justify" vertical="center" wrapText="1"/>
    </xf>
    <xf numFmtId="0" fontId="70" fillId="2" borderId="1" xfId="0" applyFont="1" applyFill="1" applyBorder="1" applyAlignment="1">
      <alignment vertical="center" wrapText="1"/>
    </xf>
    <xf numFmtId="0" fontId="145" fillId="3" borderId="1" xfId="0" applyFont="1" applyFill="1" applyBorder="1" applyAlignment="1">
      <alignment vertical="center" wrapText="1"/>
    </xf>
    <xf numFmtId="0" fontId="144" fillId="2" borderId="1" xfId="0" applyFont="1" applyFill="1" applyBorder="1" applyAlignment="1">
      <alignment horizontal="left" vertical="center" wrapText="1"/>
    </xf>
    <xf numFmtId="0" fontId="142" fillId="3" borderId="1" xfId="0" applyFont="1" applyFill="1" applyBorder="1" applyAlignment="1">
      <alignment horizontal="justify" vertical="center" wrapText="1"/>
    </xf>
    <xf numFmtId="0" fontId="142" fillId="0" borderId="31" xfId="0" applyFont="1" applyBorder="1" applyAlignment="1">
      <alignment wrapText="1"/>
    </xf>
    <xf numFmtId="0" fontId="142" fillId="0" borderId="0" xfId="0" applyFont="1" applyAlignment="1">
      <alignment horizontal="left" vertical="center" wrapText="1" indent="3"/>
    </xf>
    <xf numFmtId="166" fontId="140" fillId="0" borderId="0" xfId="0" applyNumberFormat="1" applyFont="1" applyAlignment="1">
      <alignment horizontal="left" vertical="center" wrapText="1"/>
    </xf>
    <xf numFmtId="0" fontId="70" fillId="0" borderId="0" xfId="0" applyFont="1" applyAlignment="1">
      <alignment vertical="top" wrapText="1"/>
    </xf>
    <xf numFmtId="0" fontId="142" fillId="0" borderId="0" xfId="0" applyFont="1" applyAlignment="1">
      <alignment horizontal="right" vertical="center" wrapText="1"/>
    </xf>
    <xf numFmtId="0" fontId="142" fillId="0" borderId="0" xfId="0" applyFont="1" applyAlignment="1">
      <alignment vertical="top" wrapText="1"/>
    </xf>
    <xf numFmtId="0" fontId="70" fillId="0" borderId="0" xfId="0" applyFont="1" applyAlignment="1">
      <alignment horizontal="justify" vertical="center" wrapText="1"/>
    </xf>
    <xf numFmtId="0" fontId="70" fillId="0" borderId="29" xfId="0" applyFont="1" applyBorder="1" applyAlignment="1">
      <alignment vertical="top" wrapText="1"/>
    </xf>
    <xf numFmtId="0" fontId="146" fillId="0" borderId="0" xfId="0" applyFont="1" applyAlignment="1">
      <alignment vertical="center" wrapText="1"/>
    </xf>
    <xf numFmtId="0" fontId="70" fillId="0" borderId="10" xfId="0" applyFont="1" applyBorder="1" applyAlignment="1">
      <alignment wrapText="1"/>
    </xf>
    <xf numFmtId="0" fontId="142" fillId="0" borderId="10" xfId="0" applyFont="1" applyBorder="1" applyAlignment="1">
      <alignment wrapText="1"/>
    </xf>
    <xf numFmtId="0" fontId="142" fillId="0" borderId="0" xfId="0" applyFont="1" applyAlignment="1">
      <alignment vertical="center" wrapText="1"/>
    </xf>
    <xf numFmtId="0" fontId="141" fillId="0" borderId="10" xfId="0" applyFont="1" applyBorder="1" applyAlignment="1">
      <alignment vertical="center" wrapText="1"/>
    </xf>
    <xf numFmtId="0" fontId="94" fillId="13" borderId="27" xfId="0" applyFont="1" applyFill="1" applyBorder="1" applyAlignment="1">
      <alignment wrapText="1"/>
    </xf>
    <xf numFmtId="0" fontId="102" fillId="14" borderId="50" xfId="0" applyFont="1" applyFill="1" applyBorder="1" applyAlignment="1">
      <alignment wrapText="1"/>
    </xf>
    <xf numFmtId="0" fontId="142" fillId="0" borderId="12" xfId="0" applyFont="1" applyBorder="1" applyAlignment="1">
      <alignment vertical="top" wrapText="1"/>
    </xf>
    <xf numFmtId="0" fontId="129" fillId="0" borderId="39" xfId="0" applyFont="1" applyBorder="1" applyAlignment="1">
      <alignment vertical="top"/>
    </xf>
    <xf numFmtId="0" fontId="129" fillId="0" borderId="29" xfId="0" applyFont="1" applyBorder="1" applyAlignment="1">
      <alignment vertical="top"/>
    </xf>
    <xf numFmtId="0" fontId="70" fillId="0" borderId="0" xfId="0" applyFont="1" applyAlignment="1">
      <alignment horizontal="right" vertical="center"/>
    </xf>
    <xf numFmtId="166" fontId="19" fillId="0" borderId="0" xfId="0" applyNumberFormat="1" applyFont="1" applyAlignment="1">
      <alignment horizontal="left" wrapText="1"/>
    </xf>
    <xf numFmtId="0" fontId="90" fillId="13" borderId="27" xfId="0" applyFont="1" applyFill="1" applyBorder="1" applyAlignment="1">
      <alignment horizontal="left" vertical="center" wrapText="1"/>
    </xf>
    <xf numFmtId="0" fontId="42" fillId="14" borderId="50" xfId="0" applyFont="1" applyFill="1" applyBorder="1" applyAlignment="1">
      <alignment horizontal="left" vertical="center" wrapText="1"/>
    </xf>
    <xf numFmtId="166" fontId="14" fillId="0" borderId="16" xfId="0" applyNumberFormat="1" applyFont="1" applyBorder="1" applyAlignment="1">
      <alignment vertical="center"/>
    </xf>
    <xf numFmtId="166" fontId="119" fillId="7" borderId="16" xfId="0" applyNumberFormat="1" applyFont="1" applyFill="1" applyBorder="1" applyAlignment="1">
      <alignment horizontal="center" vertical="center"/>
    </xf>
    <xf numFmtId="0" fontId="45" fillId="0" borderId="18" xfId="0" applyFont="1" applyBorder="1" applyAlignment="1">
      <alignment wrapText="1"/>
    </xf>
    <xf numFmtId="0" fontId="104" fillId="0" borderId="18" xfId="0" applyFont="1" applyBorder="1" applyAlignment="1">
      <alignment horizontal="right"/>
    </xf>
    <xf numFmtId="0" fontId="74" fillId="0" borderId="18" xfId="0" applyFont="1" applyBorder="1"/>
    <xf numFmtId="0" fontId="21" fillId="0" borderId="18" xfId="0" applyFont="1" applyBorder="1" applyAlignment="1">
      <alignment wrapText="1"/>
    </xf>
    <xf numFmtId="0" fontId="45" fillId="0" borderId="18" xfId="0" applyFont="1" applyBorder="1"/>
    <xf numFmtId="0" fontId="89" fillId="13" borderId="65" xfId="0" applyFont="1" applyFill="1" applyBorder="1" applyAlignment="1">
      <alignment wrapText="1"/>
    </xf>
    <xf numFmtId="0" fontId="70" fillId="14" borderId="66" xfId="0" applyFont="1" applyFill="1" applyBorder="1" applyAlignment="1">
      <alignment wrapText="1"/>
    </xf>
    <xf numFmtId="0" fontId="70" fillId="3" borderId="51" xfId="0" applyFont="1" applyFill="1" applyBorder="1" applyAlignment="1">
      <alignment horizontal="left" wrapText="1"/>
    </xf>
    <xf numFmtId="49" fontId="45" fillId="0" borderId="18" xfId="0" applyNumberFormat="1" applyFont="1" applyBorder="1"/>
    <xf numFmtId="0" fontId="48" fillId="12" borderId="18" xfId="0" applyFont="1" applyFill="1" applyBorder="1" applyAlignment="1">
      <alignment horizontal="center"/>
    </xf>
    <xf numFmtId="0" fontId="90" fillId="3" borderId="27" xfId="0" applyFont="1" applyFill="1" applyBorder="1" applyAlignment="1">
      <alignment wrapText="1"/>
    </xf>
    <xf numFmtId="0" fontId="111" fillId="0" borderId="0" xfId="0" applyFont="1"/>
    <xf numFmtId="0" fontId="111" fillId="0" borderId="0" xfId="0" applyFont="1" applyAlignment="1">
      <alignment horizontal="center"/>
    </xf>
    <xf numFmtId="0" fontId="111" fillId="0" borderId="0" xfId="0" applyFont="1" applyAlignment="1">
      <alignment vertical="top" wrapText="1"/>
    </xf>
    <xf numFmtId="0" fontId="123" fillId="0" borderId="0" xfId="0" applyFont="1" applyAlignment="1">
      <alignment horizontal="center" vertical="top" wrapText="1"/>
    </xf>
    <xf numFmtId="0" fontId="0" fillId="0" borderId="0" xfId="0" applyAlignment="1">
      <alignment vertical="top" wrapText="1"/>
    </xf>
    <xf numFmtId="0" fontId="90" fillId="14" borderId="50" xfId="0" applyFont="1" applyFill="1" applyBorder="1" applyAlignment="1">
      <alignment vertical="top" wrapText="1"/>
    </xf>
    <xf numFmtId="0" fontId="150" fillId="0" borderId="0" xfId="0" applyFont="1" applyAlignment="1">
      <alignment horizontal="center" vertical="top" wrapText="1"/>
    </xf>
    <xf numFmtId="0" fontId="131" fillId="0" borderId="0" xfId="0" applyFont="1" applyAlignment="1">
      <alignment horizontal="center" vertical="top" wrapText="1"/>
    </xf>
    <xf numFmtId="0" fontId="150" fillId="15" borderId="0" xfId="0" applyFont="1" applyFill="1" applyAlignment="1">
      <alignment horizontal="left" vertical="top" wrapText="1"/>
    </xf>
    <xf numFmtId="0" fontId="90" fillId="13" borderId="34" xfId="0" applyFont="1" applyFill="1" applyBorder="1" applyAlignment="1">
      <alignment vertical="top"/>
    </xf>
    <xf numFmtId="0" fontId="90" fillId="14" borderId="50" xfId="0" applyFont="1" applyFill="1" applyBorder="1" applyAlignment="1">
      <alignment vertical="top"/>
    </xf>
    <xf numFmtId="0" fontId="42" fillId="3" borderId="0" xfId="0" applyFont="1" applyFill="1"/>
    <xf numFmtId="166" fontId="111" fillId="3" borderId="0" xfId="0" applyNumberFormat="1" applyFont="1" applyFill="1" applyAlignment="1">
      <alignment horizontal="center"/>
    </xf>
    <xf numFmtId="0" fontId="111" fillId="3" borderId="0" xfId="0" applyFont="1" applyFill="1" applyAlignment="1">
      <alignment horizontal="center"/>
    </xf>
    <xf numFmtId="0" fontId="102" fillId="3" borderId="0" xfId="0" applyFont="1" applyFill="1"/>
    <xf numFmtId="166" fontId="111" fillId="3" borderId="0" xfId="0" applyNumberFormat="1" applyFont="1" applyFill="1" applyAlignment="1">
      <alignment horizontal="left"/>
    </xf>
    <xf numFmtId="0" fontId="111" fillId="3" borderId="0" xfId="0" applyFont="1" applyFill="1"/>
    <xf numFmtId="166" fontId="111" fillId="0" borderId="0" xfId="0" applyNumberFormat="1" applyFont="1" applyAlignment="1">
      <alignment horizontal="center"/>
    </xf>
    <xf numFmtId="0" fontId="151" fillId="0" borderId="0" xfId="0" applyFont="1" applyAlignment="1">
      <alignment vertical="top" wrapText="1"/>
    </xf>
    <xf numFmtId="0" fontId="75" fillId="0" borderId="0" xfId="0" applyFont="1" applyAlignment="1">
      <alignment horizontal="left" vertical="center" wrapText="1"/>
    </xf>
    <xf numFmtId="0" fontId="75" fillId="0" borderId="0" xfId="0" applyFont="1" applyAlignment="1">
      <alignment horizontal="left"/>
    </xf>
    <xf numFmtId="0" fontId="75" fillId="0" borderId="0" xfId="0" applyFont="1" applyAlignment="1">
      <alignment wrapText="1"/>
    </xf>
    <xf numFmtId="0" fontId="0" fillId="0" borderId="0" xfId="0" applyAlignment="1">
      <alignment horizontal="left" vertical="center" wrapText="1"/>
    </xf>
    <xf numFmtId="0" fontId="0" fillId="0" borderId="0" xfId="0" applyAlignment="1">
      <alignment vertical="center"/>
    </xf>
    <xf numFmtId="0" fontId="123" fillId="0" borderId="0" xfId="0" applyFont="1" applyAlignment="1">
      <alignment horizontal="center" wrapText="1"/>
    </xf>
    <xf numFmtId="1" fontId="132" fillId="0" borderId="68" xfId="0" applyNumberFormat="1" applyFont="1" applyBorder="1" applyAlignment="1">
      <alignment horizontal="right"/>
    </xf>
    <xf numFmtId="0" fontId="123" fillId="0" borderId="0" xfId="0" applyFont="1" applyAlignment="1">
      <alignment horizontal="center" vertical="center" wrapText="1"/>
    </xf>
    <xf numFmtId="0" fontId="94" fillId="13" borderId="34" xfId="0" applyFont="1" applyFill="1" applyBorder="1" applyAlignment="1">
      <alignment vertical="center" wrapText="1"/>
    </xf>
    <xf numFmtId="0" fontId="94" fillId="14" borderId="50" xfId="0" applyFont="1" applyFill="1" applyBorder="1" applyAlignment="1">
      <alignment vertical="center" wrapText="1"/>
    </xf>
    <xf numFmtId="0" fontId="0" fillId="0" borderId="0" xfId="0" applyAlignment="1">
      <alignment vertical="center" wrapText="1"/>
    </xf>
    <xf numFmtId="20" fontId="0" fillId="0" borderId="0" xfId="0" applyNumberFormat="1" applyAlignment="1">
      <alignment wrapText="1"/>
    </xf>
    <xf numFmtId="0" fontId="109" fillId="0" borderId="0" xfId="0" applyFont="1" applyAlignment="1">
      <alignment wrapText="1"/>
    </xf>
    <xf numFmtId="0" fontId="15" fillId="13" borderId="65" xfId="0" applyFont="1" applyFill="1" applyBorder="1" applyAlignment="1">
      <alignment vertical="top" wrapText="1"/>
    </xf>
    <xf numFmtId="0" fontId="15" fillId="14" borderId="66" xfId="0" applyFont="1" applyFill="1" applyBorder="1" applyAlignment="1">
      <alignment vertical="top" wrapText="1"/>
    </xf>
    <xf numFmtId="0" fontId="117" fillId="0" borderId="0" xfId="0" applyFont="1" applyAlignment="1">
      <alignment wrapText="1"/>
    </xf>
    <xf numFmtId="0" fontId="156" fillId="0" borderId="0" xfId="0" applyFont="1" applyAlignment="1">
      <alignment wrapText="1"/>
    </xf>
    <xf numFmtId="0" fontId="157" fillId="0" borderId="0" xfId="0" applyFont="1" applyAlignment="1">
      <alignment wrapText="1"/>
    </xf>
    <xf numFmtId="0" fontId="159" fillId="0" borderId="0" xfId="0" applyFont="1" applyAlignment="1">
      <alignment horizontal="right" vertical="top" wrapText="1"/>
    </xf>
    <xf numFmtId="0" fontId="160" fillId="0" borderId="0" xfId="0" applyFont="1" applyAlignment="1">
      <alignment wrapText="1"/>
    </xf>
    <xf numFmtId="0" fontId="154" fillId="0" borderId="0" xfId="0" applyFont="1" applyAlignment="1">
      <alignment vertical="center" wrapText="1"/>
    </xf>
    <xf numFmtId="0" fontId="161" fillId="0" borderId="0" xfId="0" applyFont="1" applyAlignment="1">
      <alignment horizontal="right" vertical="center" wrapText="1"/>
    </xf>
    <xf numFmtId="0" fontId="155" fillId="0" borderId="0" xfId="0" applyFont="1" applyAlignment="1">
      <alignment horizontal="center" vertical="center" wrapText="1"/>
    </xf>
    <xf numFmtId="0" fontId="154" fillId="0" borderId="0" xfId="0" applyFont="1"/>
    <xf numFmtId="20" fontId="154" fillId="7" borderId="68" xfId="0" applyNumberFormat="1" applyFont="1" applyFill="1" applyBorder="1" applyAlignment="1" applyProtection="1">
      <alignment horizontal="right"/>
      <protection locked="0"/>
    </xf>
    <xf numFmtId="168" fontId="154" fillId="0" borderId="0" xfId="0" applyNumberFormat="1" applyFont="1"/>
    <xf numFmtId="0" fontId="162" fillId="0" borderId="0" xfId="0" applyFont="1" applyAlignment="1">
      <alignment wrapText="1"/>
    </xf>
    <xf numFmtId="0" fontId="164" fillId="0" borderId="0" xfId="0" applyFont="1" applyAlignment="1">
      <alignment horizontal="right" vertical="top" wrapText="1"/>
    </xf>
    <xf numFmtId="166" fontId="7" fillId="7" borderId="0" xfId="0" applyNumberFormat="1" applyFont="1" applyFill="1" applyAlignment="1" applyProtection="1">
      <alignment horizontal="left" vertical="center"/>
      <protection locked="0"/>
    </xf>
    <xf numFmtId="0" fontId="166" fillId="0" borderId="0" xfId="0" applyFont="1" applyAlignment="1">
      <alignment wrapText="1"/>
    </xf>
    <xf numFmtId="0" fontId="168" fillId="0" borderId="0" xfId="0" applyFont="1" applyAlignment="1">
      <alignment horizontal="right" vertical="top" wrapText="1"/>
    </xf>
    <xf numFmtId="0" fontId="0" fillId="0" borderId="0" xfId="0" applyAlignment="1">
      <alignment horizontal="left" wrapText="1" indent="3"/>
    </xf>
    <xf numFmtId="9" fontId="75" fillId="7" borderId="0" xfId="8" applyFont="1" applyFill="1" applyAlignment="1" applyProtection="1">
      <alignment horizontal="center"/>
      <protection locked="0"/>
    </xf>
    <xf numFmtId="0" fontId="150" fillId="0" borderId="0" xfId="0" applyFont="1" applyAlignment="1">
      <alignment horizontal="right"/>
    </xf>
    <xf numFmtId="1" fontId="7" fillId="7" borderId="0" xfId="0" applyNumberFormat="1" applyFont="1" applyFill="1" applyAlignment="1" applyProtection="1">
      <alignment horizontal="left"/>
      <protection locked="0"/>
    </xf>
    <xf numFmtId="0" fontId="152" fillId="0" borderId="0" xfId="0" applyFont="1" applyAlignment="1">
      <alignment horizontal="left" wrapText="1"/>
    </xf>
    <xf numFmtId="0" fontId="0" fillId="0" borderId="0" xfId="0" applyAlignment="1">
      <alignment horizontal="left" vertical="top" wrapText="1"/>
    </xf>
    <xf numFmtId="20" fontId="0" fillId="0" borderId="0" xfId="0" applyNumberFormat="1" applyAlignment="1">
      <alignment horizontal="left" wrapText="1"/>
    </xf>
    <xf numFmtId="0" fontId="171" fillId="0" borderId="0" xfId="0" applyFont="1" applyAlignment="1">
      <alignment wrapText="1"/>
    </xf>
    <xf numFmtId="0" fontId="75" fillId="0" borderId="0" xfId="0" applyFont="1" applyAlignment="1">
      <alignment vertical="top" wrapText="1"/>
    </xf>
    <xf numFmtId="166" fontId="7" fillId="7" borderId="0" xfId="0" applyNumberFormat="1" applyFont="1" applyFill="1" applyAlignment="1" applyProtection="1">
      <alignment vertical="center"/>
      <protection locked="0"/>
    </xf>
    <xf numFmtId="166" fontId="7" fillId="0" borderId="0" xfId="0" applyNumberFormat="1" applyFont="1" applyAlignment="1">
      <alignment vertical="center"/>
    </xf>
    <xf numFmtId="0" fontId="75" fillId="0" borderId="0" xfId="0" applyFont="1" applyAlignment="1">
      <alignment horizontal="left" vertical="center"/>
    </xf>
    <xf numFmtId="0" fontId="116" fillId="0" borderId="0" xfId="0" applyFont="1" applyAlignment="1">
      <alignment vertical="center" wrapText="1"/>
    </xf>
    <xf numFmtId="0" fontId="89" fillId="13" borderId="34" xfId="0" applyFont="1" applyFill="1" applyBorder="1" applyAlignment="1">
      <alignment vertical="center" wrapText="1"/>
    </xf>
    <xf numFmtId="0" fontId="89" fillId="14" borderId="50" xfId="0" applyFont="1" applyFill="1" applyBorder="1" applyAlignment="1">
      <alignment vertical="center" wrapText="1"/>
    </xf>
    <xf numFmtId="0" fontId="70" fillId="3" borderId="35" xfId="0" applyFont="1" applyFill="1" applyBorder="1" applyAlignment="1">
      <alignment horizontal="left" vertical="center" wrapText="1"/>
    </xf>
    <xf numFmtId="0" fontId="173" fillId="13" borderId="34" xfId="0" applyFont="1" applyFill="1" applyBorder="1" applyAlignment="1">
      <alignment vertical="center" wrapText="1"/>
    </xf>
    <xf numFmtId="0" fontId="173" fillId="14" borderId="50" xfId="0" applyFont="1" applyFill="1" applyBorder="1" applyAlignment="1">
      <alignment vertical="center" wrapText="1"/>
    </xf>
    <xf numFmtId="0" fontId="75" fillId="7" borderId="0" xfId="0" applyFont="1" applyFill="1" applyAlignment="1" applyProtection="1">
      <alignment horizontal="center" vertical="center"/>
      <protection locked="0"/>
    </xf>
    <xf numFmtId="0" fontId="75" fillId="0" borderId="0" xfId="0" applyFont="1" applyAlignment="1">
      <alignment horizontal="center" vertical="center"/>
    </xf>
    <xf numFmtId="0" fontId="42" fillId="3" borderId="35" xfId="0" applyFont="1" applyFill="1" applyBorder="1" applyAlignment="1">
      <alignment vertical="center" wrapText="1"/>
    </xf>
    <xf numFmtId="0" fontId="75" fillId="0" borderId="0" xfId="0" applyFont="1" applyAlignment="1">
      <alignment vertical="center"/>
    </xf>
    <xf numFmtId="0" fontId="90" fillId="13" borderId="34" xfId="0" applyFont="1" applyFill="1" applyBorder="1" applyAlignment="1">
      <alignment horizontal="justify" vertical="center" wrapText="1"/>
    </xf>
    <xf numFmtId="0" fontId="90" fillId="14" borderId="50" xfId="0" applyFont="1" applyFill="1" applyBorder="1" applyAlignment="1">
      <alignment horizontal="justify" vertical="center" wrapText="1"/>
    </xf>
    <xf numFmtId="166" fontId="7" fillId="12" borderId="0" xfId="0" applyNumberFormat="1" applyFont="1" applyFill="1" applyAlignment="1" applyProtection="1">
      <alignment horizontal="center" vertical="center"/>
      <protection locked="0"/>
    </xf>
    <xf numFmtId="0" fontId="75" fillId="12" borderId="0" xfId="0" applyFont="1" applyFill="1" applyAlignment="1" applyProtection="1">
      <alignment horizontal="center" vertical="center"/>
      <protection locked="0"/>
    </xf>
    <xf numFmtId="3" fontId="171" fillId="7" borderId="0" xfId="0" applyNumberFormat="1" applyFont="1" applyFill="1" applyAlignment="1" applyProtection="1">
      <alignment vertical="center"/>
      <protection locked="0"/>
    </xf>
    <xf numFmtId="1" fontId="171" fillId="7" borderId="0" xfId="0" applyNumberFormat="1" applyFont="1" applyFill="1" applyAlignment="1" applyProtection="1">
      <alignment vertical="center"/>
      <protection locked="0"/>
    </xf>
    <xf numFmtId="1" fontId="75" fillId="7" borderId="68" xfId="0" applyNumberFormat="1" applyFont="1" applyFill="1" applyBorder="1" applyAlignment="1" applyProtection="1">
      <alignment vertical="center"/>
      <protection locked="0"/>
    </xf>
    <xf numFmtId="1" fontId="75" fillId="7" borderId="0" xfId="0" applyNumberFormat="1" applyFont="1" applyFill="1" applyAlignment="1" applyProtection="1">
      <alignment vertical="center"/>
      <protection locked="0"/>
    </xf>
    <xf numFmtId="1" fontId="75" fillId="0" borderId="0" xfId="0" applyNumberFormat="1" applyFont="1" applyAlignment="1">
      <alignment vertical="center"/>
    </xf>
    <xf numFmtId="1" fontId="0" fillId="0" borderId="68" xfId="0" applyNumberFormat="1" applyBorder="1" applyAlignment="1">
      <alignment vertical="center"/>
    </xf>
    <xf numFmtId="1" fontId="0" fillId="0" borderId="0" xfId="0" applyNumberFormat="1" applyAlignment="1">
      <alignment vertical="center"/>
    </xf>
    <xf numFmtId="0" fontId="152" fillId="0" borderId="0" xfId="0" applyFont="1" applyAlignment="1">
      <alignment horizontal="left" vertical="center" wrapText="1"/>
    </xf>
    <xf numFmtId="0" fontId="172" fillId="0" borderId="0" xfId="0" applyFont="1" applyAlignment="1">
      <alignment vertical="center" wrapText="1"/>
    </xf>
    <xf numFmtId="168" fontId="162" fillId="7" borderId="68" xfId="0" applyNumberFormat="1" applyFont="1" applyFill="1" applyBorder="1" applyAlignment="1" applyProtection="1">
      <alignment vertical="center"/>
      <protection locked="0"/>
    </xf>
    <xf numFmtId="166" fontId="9" fillId="9" borderId="0" xfId="0" applyNumberFormat="1" applyFont="1" applyFill="1" applyAlignment="1">
      <alignment vertical="center"/>
    </xf>
    <xf numFmtId="2" fontId="171" fillId="7" borderId="0" xfId="0" applyNumberFormat="1" applyFont="1" applyFill="1" applyAlignment="1" applyProtection="1">
      <alignment vertical="center"/>
      <protection locked="0"/>
    </xf>
    <xf numFmtId="1" fontId="171" fillId="7" borderId="0" xfId="0" applyNumberFormat="1" applyFont="1" applyFill="1" applyAlignment="1" applyProtection="1">
      <alignment horizontal="center" vertical="center"/>
      <protection locked="0"/>
    </xf>
    <xf numFmtId="0" fontId="152" fillId="0" borderId="0" xfId="0" applyFont="1" applyAlignment="1">
      <alignment horizontal="center" vertical="center" wrapText="1"/>
    </xf>
    <xf numFmtId="0" fontId="152" fillId="0" borderId="0" xfId="0" applyFont="1" applyAlignment="1">
      <alignment horizontal="right" vertical="center" wrapText="1"/>
    </xf>
    <xf numFmtId="0" fontId="0" fillId="0" borderId="0" xfId="0" applyAlignment="1">
      <alignment horizontal="center" vertical="center" wrapText="1"/>
    </xf>
    <xf numFmtId="0" fontId="0" fillId="0" borderId="0" xfId="0" applyAlignment="1">
      <alignment horizontal="center" vertical="center"/>
    </xf>
    <xf numFmtId="0" fontId="90" fillId="13" borderId="34" xfId="0" applyFont="1" applyFill="1" applyBorder="1" applyAlignment="1">
      <alignment horizontal="center" vertical="center" wrapText="1"/>
    </xf>
    <xf numFmtId="0" fontId="75" fillId="0" borderId="0" xfId="0" applyFont="1" applyAlignment="1">
      <alignment vertical="center" wrapText="1"/>
    </xf>
    <xf numFmtId="0" fontId="0" fillId="11" borderId="0" xfId="0" applyFill="1" applyAlignment="1">
      <alignment vertical="top"/>
    </xf>
    <xf numFmtId="0" fontId="0" fillId="11" borderId="0" xfId="0" applyFill="1"/>
    <xf numFmtId="0" fontId="0" fillId="11" borderId="0" xfId="0" applyFill="1" applyAlignment="1">
      <alignment vertical="center"/>
    </xf>
    <xf numFmtId="0" fontId="0" fillId="11" borderId="0" xfId="0" applyFill="1" applyAlignment="1">
      <alignment horizontal="center" vertical="center"/>
    </xf>
    <xf numFmtId="0" fontId="75" fillId="0" borderId="33" xfId="0" applyFont="1" applyBorder="1" applyAlignment="1">
      <alignment vertical="top" wrapText="1"/>
    </xf>
    <xf numFmtId="9" fontId="0" fillId="0" borderId="0" xfId="8" applyFont="1"/>
    <xf numFmtId="0" fontId="0" fillId="11" borderId="0" xfId="0" applyFill="1" applyAlignment="1">
      <alignment horizontal="center"/>
    </xf>
    <xf numFmtId="0" fontId="131" fillId="11" borderId="0" xfId="0" applyFont="1" applyFill="1" applyAlignment="1">
      <alignment horizontal="center"/>
    </xf>
    <xf numFmtId="9" fontId="75" fillId="11" borderId="0" xfId="0" applyNumberFormat="1" applyFont="1" applyFill="1" applyAlignment="1">
      <alignment horizontal="center"/>
    </xf>
    <xf numFmtId="0" fontId="151" fillId="0" borderId="0" xfId="0" applyFont="1" applyAlignment="1">
      <alignment vertical="center" wrapText="1"/>
    </xf>
    <xf numFmtId="0" fontId="0" fillId="0" borderId="0" xfId="0" applyAlignment="1">
      <alignment horizontal="left" vertical="center" wrapText="1" indent="1"/>
    </xf>
    <xf numFmtId="0" fontId="60" fillId="0" borderId="0" xfId="258" applyProtection="1"/>
    <xf numFmtId="0" fontId="111" fillId="0" borderId="0" xfId="0" applyFont="1" applyAlignment="1">
      <alignment wrapText="1"/>
    </xf>
    <xf numFmtId="0" fontId="60" fillId="0" borderId="0" xfId="258" applyAlignment="1" applyProtection="1">
      <alignment vertical="top"/>
    </xf>
    <xf numFmtId="0" fontId="0" fillId="11" borderId="0" xfId="0" applyFill="1" applyAlignment="1">
      <alignment horizontal="center" vertical="top"/>
    </xf>
    <xf numFmtId="169" fontId="0" fillId="0" borderId="68" xfId="8" applyNumberFormat="1" applyFont="1" applyBorder="1" applyAlignment="1" applyProtection="1">
      <alignment vertical="center"/>
    </xf>
    <xf numFmtId="0" fontId="176" fillId="0" borderId="0" xfId="0" applyFont="1" applyAlignment="1">
      <alignment horizontal="center" vertical="center"/>
    </xf>
    <xf numFmtId="1" fontId="154" fillId="0" borderId="0" xfId="0" applyNumberFormat="1" applyFont="1" applyAlignment="1">
      <alignment horizontal="right"/>
    </xf>
    <xf numFmtId="0" fontId="156" fillId="0" borderId="0" xfId="0" applyFont="1" applyAlignment="1">
      <alignment vertical="center" wrapText="1"/>
    </xf>
    <xf numFmtId="168" fontId="154" fillId="7" borderId="68" xfId="0" applyNumberFormat="1" applyFont="1" applyFill="1" applyBorder="1" applyAlignment="1" applyProtection="1">
      <alignment horizontal="right" vertical="center"/>
      <protection locked="0"/>
    </xf>
    <xf numFmtId="168" fontId="154" fillId="7" borderId="0" xfId="0" applyNumberFormat="1" applyFont="1" applyFill="1" applyAlignment="1" applyProtection="1">
      <alignment horizontal="right" vertical="center"/>
      <protection locked="0"/>
    </xf>
    <xf numFmtId="0" fontId="154" fillId="0" borderId="0" xfId="0" applyFont="1" applyAlignment="1">
      <alignment vertical="center"/>
    </xf>
    <xf numFmtId="1" fontId="154" fillId="7" borderId="68" xfId="0" applyNumberFormat="1" applyFont="1" applyFill="1" applyBorder="1" applyAlignment="1" applyProtection="1">
      <alignment horizontal="right"/>
      <protection locked="0"/>
    </xf>
    <xf numFmtId="0" fontId="0" fillId="11" borderId="42" xfId="0" applyFill="1" applyBorder="1"/>
    <xf numFmtId="1" fontId="132" fillId="11" borderId="0" xfId="0" applyNumberFormat="1" applyFont="1" applyFill="1" applyAlignment="1">
      <alignment horizontal="right"/>
    </xf>
    <xf numFmtId="1" fontId="132" fillId="11" borderId="27" xfId="0" applyNumberFormat="1" applyFont="1" applyFill="1" applyBorder="1" applyAlignment="1">
      <alignment horizontal="right"/>
    </xf>
    <xf numFmtId="0" fontId="0" fillId="11" borderId="0" xfId="0" applyFill="1" applyAlignment="1">
      <alignment horizontal="right"/>
    </xf>
    <xf numFmtId="0" fontId="0" fillId="11" borderId="27" xfId="0" applyFill="1" applyBorder="1" applyAlignment="1">
      <alignment horizontal="right"/>
    </xf>
    <xf numFmtId="0" fontId="131" fillId="11" borderId="42" xfId="0" applyFont="1" applyFill="1" applyBorder="1" applyAlignment="1">
      <alignment horizontal="right"/>
    </xf>
    <xf numFmtId="0" fontId="131" fillId="11" borderId="0" xfId="0" applyFont="1" applyFill="1" applyAlignment="1">
      <alignment horizontal="right"/>
    </xf>
    <xf numFmtId="0" fontId="131" fillId="11" borderId="27" xfId="0" applyFont="1" applyFill="1" applyBorder="1" applyAlignment="1">
      <alignment horizontal="right"/>
    </xf>
    <xf numFmtId="9" fontId="0" fillId="11" borderId="42" xfId="8" applyFont="1" applyFill="1" applyBorder="1" applyAlignment="1" applyProtection="1">
      <alignment horizontal="right" vertical="center"/>
    </xf>
    <xf numFmtId="171" fontId="0" fillId="11" borderId="0" xfId="9" applyNumberFormat="1" applyFont="1" applyFill="1" applyBorder="1" applyAlignment="1" applyProtection="1">
      <alignment horizontal="right" vertical="center"/>
    </xf>
    <xf numFmtId="171" fontId="0" fillId="11" borderId="27" xfId="9" applyNumberFormat="1" applyFont="1" applyFill="1" applyBorder="1" applyAlignment="1" applyProtection="1">
      <alignment horizontal="right" vertical="center"/>
    </xf>
    <xf numFmtId="1" fontId="132" fillId="11" borderId="42" xfId="0" applyNumberFormat="1" applyFont="1" applyFill="1" applyBorder="1" applyAlignment="1">
      <alignment horizontal="right"/>
    </xf>
    <xf numFmtId="0" fontId="0" fillId="11" borderId="27" xfId="0" applyFill="1" applyBorder="1"/>
    <xf numFmtId="0" fontId="0" fillId="11" borderId="42" xfId="0" applyFill="1" applyBorder="1" applyAlignment="1">
      <alignment vertical="center"/>
    </xf>
    <xf numFmtId="169" fontId="0" fillId="11" borderId="42" xfId="8" applyNumberFormat="1" applyFont="1" applyFill="1" applyBorder="1" applyAlignment="1" applyProtection="1">
      <alignment vertical="center"/>
    </xf>
    <xf numFmtId="169" fontId="0" fillId="11" borderId="0" xfId="8" applyNumberFormat="1" applyFont="1" applyFill="1" applyBorder="1" applyAlignment="1" applyProtection="1">
      <alignment vertical="center"/>
    </xf>
    <xf numFmtId="0" fontId="0" fillId="11" borderId="0" xfId="0" applyFill="1" applyAlignment="1">
      <alignment horizontal="right" vertical="center"/>
    </xf>
    <xf numFmtId="0" fontId="0" fillId="11" borderId="27" xfId="0" applyFill="1" applyBorder="1" applyAlignment="1">
      <alignment horizontal="right" vertical="center"/>
    </xf>
    <xf numFmtId="169" fontId="0" fillId="11" borderId="40" xfId="8" applyNumberFormat="1" applyFont="1" applyFill="1" applyBorder="1" applyAlignment="1" applyProtection="1">
      <alignment vertical="center"/>
    </xf>
    <xf numFmtId="169" fontId="0" fillId="11" borderId="31" xfId="8" applyNumberFormat="1" applyFont="1" applyFill="1" applyBorder="1" applyAlignment="1" applyProtection="1">
      <alignment vertical="center"/>
    </xf>
    <xf numFmtId="0" fontId="0" fillId="11" borderId="31" xfId="0" applyFill="1" applyBorder="1" applyAlignment="1">
      <alignment horizontal="right" vertical="center"/>
    </xf>
    <xf numFmtId="0" fontId="0" fillId="11" borderId="41" xfId="0" applyFill="1" applyBorder="1" applyAlignment="1">
      <alignment horizontal="right" vertical="center"/>
    </xf>
    <xf numFmtId="169" fontId="0" fillId="11" borderId="39" xfId="8" applyNumberFormat="1" applyFont="1" applyFill="1" applyBorder="1" applyAlignment="1" applyProtection="1">
      <alignment vertical="center"/>
    </xf>
    <xf numFmtId="169" fontId="0" fillId="11" borderId="29" xfId="8" applyNumberFormat="1" applyFont="1" applyFill="1" applyBorder="1" applyAlignment="1" applyProtection="1">
      <alignment vertical="center"/>
    </xf>
    <xf numFmtId="169" fontId="0" fillId="11" borderId="7" xfId="8" applyNumberFormat="1" applyFont="1" applyFill="1" applyBorder="1" applyAlignment="1" applyProtection="1">
      <alignment vertical="center"/>
    </xf>
    <xf numFmtId="169" fontId="0" fillId="11" borderId="13" xfId="8" applyNumberFormat="1" applyFont="1" applyFill="1" applyBorder="1" applyAlignment="1" applyProtection="1">
      <alignment vertical="center"/>
    </xf>
    <xf numFmtId="169" fontId="0" fillId="11" borderId="13" xfId="8" applyNumberFormat="1" applyFont="1" applyFill="1" applyBorder="1" applyAlignment="1" applyProtection="1">
      <alignment horizontal="right" vertical="center"/>
    </xf>
    <xf numFmtId="169" fontId="75" fillId="11" borderId="11" xfId="8" applyNumberFormat="1" applyFont="1" applyFill="1" applyBorder="1" applyAlignment="1" applyProtection="1">
      <alignment horizontal="right" vertical="center"/>
    </xf>
    <xf numFmtId="169" fontId="111" fillId="11" borderId="40" xfId="8" applyNumberFormat="1" applyFont="1" applyFill="1" applyBorder="1" applyAlignment="1" applyProtection="1">
      <alignment vertical="center"/>
    </xf>
    <xf numFmtId="169" fontId="111" fillId="11" borderId="31" xfId="8" applyNumberFormat="1" applyFont="1" applyFill="1" applyBorder="1" applyAlignment="1" applyProtection="1">
      <alignment vertical="center"/>
    </xf>
    <xf numFmtId="0" fontId="0" fillId="11" borderId="0" xfId="0" applyFill="1" applyAlignment="1">
      <alignment horizontal="left" vertical="top"/>
    </xf>
    <xf numFmtId="0" fontId="0" fillId="11" borderId="0" xfId="0" applyFill="1" applyAlignment="1">
      <alignment horizontal="left"/>
    </xf>
    <xf numFmtId="0" fontId="0" fillId="11" borderId="0" xfId="0" applyFill="1" applyAlignment="1">
      <alignment horizontal="left" vertical="center"/>
    </xf>
    <xf numFmtId="0" fontId="131" fillId="11" borderId="0" xfId="0" applyFont="1" applyFill="1" applyAlignment="1">
      <alignment horizontal="left"/>
    </xf>
    <xf numFmtId="9" fontId="75" fillId="11" borderId="0" xfId="0" applyNumberFormat="1" applyFont="1" applyFill="1" applyAlignment="1">
      <alignment horizontal="left"/>
    </xf>
    <xf numFmtId="0" fontId="75" fillId="11" borderId="39" xfId="0" applyFont="1" applyFill="1" applyBorder="1" applyAlignment="1">
      <alignment vertical="top"/>
    </xf>
    <xf numFmtId="0" fontId="75" fillId="11" borderId="29" xfId="0" applyFont="1" applyFill="1" applyBorder="1" applyAlignment="1">
      <alignment vertical="top"/>
    </xf>
    <xf numFmtId="0" fontId="75" fillId="11" borderId="29" xfId="0" applyFont="1" applyFill="1" applyBorder="1" applyAlignment="1">
      <alignment horizontal="center" vertical="top"/>
    </xf>
    <xf numFmtId="0" fontId="75" fillId="11" borderId="24" xfId="0" applyFont="1" applyFill="1" applyBorder="1" applyAlignment="1">
      <alignment vertical="top"/>
    </xf>
    <xf numFmtId="0" fontId="75" fillId="11" borderId="29" xfId="0" applyFont="1" applyFill="1" applyBorder="1" applyAlignment="1">
      <alignment horizontal="right" vertical="top"/>
    </xf>
    <xf numFmtId="0" fontId="75" fillId="11" borderId="24" xfId="0" applyFont="1" applyFill="1" applyBorder="1" applyAlignment="1">
      <alignment horizontal="right" vertical="top"/>
    </xf>
    <xf numFmtId="0" fontId="75" fillId="11" borderId="39" xfId="0" applyFont="1" applyFill="1" applyBorder="1" applyAlignment="1">
      <alignment horizontal="left" vertical="top"/>
    </xf>
    <xf numFmtId="0" fontId="75" fillId="11" borderId="29" xfId="0" applyFont="1" applyFill="1" applyBorder="1"/>
    <xf numFmtId="0" fontId="75" fillId="11" borderId="24" xfId="0" applyFont="1" applyFill="1" applyBorder="1"/>
    <xf numFmtId="0" fontId="0" fillId="11" borderId="42" xfId="0" applyFill="1" applyBorder="1" applyAlignment="1">
      <alignment horizontal="left"/>
    </xf>
    <xf numFmtId="0" fontId="131" fillId="11" borderId="42" xfId="0" applyFont="1" applyFill="1" applyBorder="1" applyAlignment="1">
      <alignment horizontal="left"/>
    </xf>
    <xf numFmtId="9" fontId="0" fillId="11" borderId="42" xfId="0" applyNumberFormat="1" applyFill="1" applyBorder="1" applyAlignment="1">
      <alignment horizontal="left"/>
    </xf>
    <xf numFmtId="168" fontId="0" fillId="11" borderId="0" xfId="0" applyNumberFormat="1" applyFill="1" applyAlignment="1">
      <alignment horizontal="right"/>
    </xf>
    <xf numFmtId="168" fontId="0" fillId="11" borderId="27" xfId="0" applyNumberFormat="1" applyFill="1" applyBorder="1" applyAlignment="1">
      <alignment horizontal="right"/>
    </xf>
    <xf numFmtId="0" fontId="0" fillId="11" borderId="31" xfId="0" applyFill="1" applyBorder="1" applyAlignment="1">
      <alignment horizontal="right"/>
    </xf>
    <xf numFmtId="0" fontId="0" fillId="11" borderId="41" xfId="0" applyFill="1" applyBorder="1" applyAlignment="1">
      <alignment horizontal="right"/>
    </xf>
    <xf numFmtId="0" fontId="169" fillId="0" borderId="0" xfId="0" applyFont="1" applyAlignment="1">
      <alignment vertical="center" wrapText="1"/>
    </xf>
    <xf numFmtId="9" fontId="75" fillId="11" borderId="0" xfId="0" applyNumberFormat="1" applyFont="1" applyFill="1" applyAlignment="1">
      <alignment horizontal="center" vertical="center"/>
    </xf>
    <xf numFmtId="9" fontId="153" fillId="11" borderId="0" xfId="8" applyFont="1" applyFill="1" applyAlignment="1" applyProtection="1">
      <alignment horizontal="right"/>
    </xf>
    <xf numFmtId="0" fontId="116" fillId="11" borderId="0" xfId="0" applyFont="1" applyFill="1" applyAlignment="1">
      <alignment horizontal="left"/>
    </xf>
    <xf numFmtId="171" fontId="157" fillId="0" borderId="0" xfId="0" applyNumberFormat="1" applyFont="1"/>
    <xf numFmtId="168" fontId="157" fillId="0" borderId="0" xfId="0" applyNumberFormat="1" applyFont="1"/>
    <xf numFmtId="169" fontId="0" fillId="11" borderId="42" xfId="8" applyNumberFormat="1" applyFont="1" applyFill="1" applyBorder="1" applyAlignment="1" applyProtection="1">
      <alignment horizontal="right"/>
    </xf>
    <xf numFmtId="168" fontId="171" fillId="11" borderId="27" xfId="0" applyNumberFormat="1" applyFont="1" applyFill="1" applyBorder="1" applyAlignment="1">
      <alignment horizontal="right"/>
    </xf>
    <xf numFmtId="168" fontId="153" fillId="11" borderId="0" xfId="0" applyNumberFormat="1" applyFont="1" applyFill="1" applyAlignment="1">
      <alignment horizontal="right"/>
    </xf>
    <xf numFmtId="0" fontId="0" fillId="11" borderId="13" xfId="0" applyFill="1" applyBorder="1" applyAlignment="1">
      <alignment horizontal="center" vertical="center"/>
    </xf>
    <xf numFmtId="0" fontId="0" fillId="11" borderId="13" xfId="0" applyFill="1" applyBorder="1" applyAlignment="1">
      <alignment vertical="center"/>
    </xf>
    <xf numFmtId="0" fontId="0" fillId="11" borderId="13" xfId="0" applyFill="1" applyBorder="1" applyAlignment="1">
      <alignment horizontal="left" vertical="center"/>
    </xf>
    <xf numFmtId="0" fontId="0" fillId="11" borderId="11" xfId="0" applyFill="1" applyBorder="1" applyAlignment="1">
      <alignment vertical="center"/>
    </xf>
    <xf numFmtId="0" fontId="0" fillId="11" borderId="31" xfId="0" applyFill="1" applyBorder="1" applyAlignment="1">
      <alignment horizontal="left"/>
    </xf>
    <xf numFmtId="171" fontId="75" fillId="11" borderId="29" xfId="0" applyNumberFormat="1" applyFont="1" applyFill="1" applyBorder="1" applyAlignment="1">
      <alignment horizontal="right" vertical="center"/>
    </xf>
    <xf numFmtId="171" fontId="0" fillId="11" borderId="24" xfId="0" applyNumberFormat="1" applyFill="1" applyBorder="1" applyAlignment="1">
      <alignment horizontal="right" vertical="center"/>
    </xf>
    <xf numFmtId="0" fontId="183" fillId="11" borderId="39" xfId="0" applyFont="1" applyFill="1" applyBorder="1" applyAlignment="1">
      <alignment horizontal="right" vertical="center"/>
    </xf>
    <xf numFmtId="0" fontId="183" fillId="11" borderId="40" xfId="0" applyFont="1" applyFill="1" applyBorder="1" applyAlignment="1">
      <alignment horizontal="right" vertical="center"/>
    </xf>
    <xf numFmtId="168" fontId="0" fillId="11" borderId="41" xfId="0" applyNumberFormat="1" applyFill="1" applyBorder="1" applyAlignment="1">
      <alignment vertical="center"/>
    </xf>
    <xf numFmtId="168" fontId="153" fillId="11" borderId="31" xfId="0" applyNumberFormat="1" applyFont="1" applyFill="1" applyBorder="1" applyAlignment="1">
      <alignment vertical="center"/>
    </xf>
    <xf numFmtId="168" fontId="162" fillId="7" borderId="68" xfId="0" applyNumberFormat="1" applyFont="1" applyFill="1" applyBorder="1" applyProtection="1">
      <protection locked="0"/>
    </xf>
    <xf numFmtId="0" fontId="165" fillId="0" borderId="0" xfId="0" applyFont="1" applyAlignment="1">
      <alignment vertical="center" wrapText="1"/>
    </xf>
    <xf numFmtId="0" fontId="131" fillId="11" borderId="0" xfId="0" applyFont="1" applyFill="1" applyAlignment="1">
      <alignment horizontal="center" vertical="center"/>
    </xf>
    <xf numFmtId="0" fontId="165" fillId="0" borderId="0" xfId="0" applyFont="1" applyAlignment="1">
      <alignment horizontal="left" vertical="center" wrapText="1" indent="3"/>
    </xf>
    <xf numFmtId="168" fontId="162" fillId="7" borderId="0" xfId="0" applyNumberFormat="1" applyFont="1" applyFill="1" applyAlignment="1" applyProtection="1">
      <alignment vertical="center"/>
      <protection locked="0"/>
    </xf>
    <xf numFmtId="0" fontId="0" fillId="0" borderId="0" xfId="0" applyAlignment="1">
      <alignment horizontal="left" vertical="center"/>
    </xf>
    <xf numFmtId="0" fontId="8" fillId="13" borderId="34" xfId="0" applyFont="1" applyFill="1" applyBorder="1" applyAlignment="1">
      <alignment horizontal="left" vertical="center" wrapText="1"/>
    </xf>
    <xf numFmtId="0" fontId="8" fillId="14" borderId="50" xfId="0" applyFont="1" applyFill="1" applyBorder="1" applyAlignment="1">
      <alignment horizontal="left" vertical="center" wrapText="1"/>
    </xf>
    <xf numFmtId="0" fontId="90" fillId="13" borderId="34" xfId="0" applyFont="1" applyFill="1" applyBorder="1" applyAlignment="1">
      <alignment horizontal="left" vertical="center" wrapText="1"/>
    </xf>
    <xf numFmtId="0" fontId="90" fillId="14" borderId="50" xfId="0" applyFont="1" applyFill="1" applyBorder="1" applyAlignment="1">
      <alignment horizontal="left" vertical="center" wrapText="1"/>
    </xf>
    <xf numFmtId="166" fontId="83" fillId="15" borderId="0" xfId="0" applyNumberFormat="1" applyFont="1" applyFill="1" applyAlignment="1">
      <alignment horizontal="center" wrapText="1"/>
    </xf>
    <xf numFmtId="0" fontId="180" fillId="15" borderId="0" xfId="0" applyFont="1" applyFill="1" applyAlignment="1">
      <alignment horizontal="center" vertical="top" wrapText="1"/>
    </xf>
    <xf numFmtId="0" fontId="181" fillId="15" borderId="0" xfId="0" applyFont="1" applyFill="1" applyAlignment="1">
      <alignment horizontal="center" vertical="top" wrapText="1"/>
    </xf>
    <xf numFmtId="0" fontId="180" fillId="15" borderId="0" xfId="0" applyFont="1" applyFill="1" applyAlignment="1">
      <alignment horizontal="center" wrapText="1"/>
    </xf>
    <xf numFmtId="0" fontId="181" fillId="15" borderId="0" xfId="0" applyFont="1" applyFill="1" applyAlignment="1">
      <alignment horizontal="center" wrapText="1"/>
    </xf>
    <xf numFmtId="168" fontId="180" fillId="15" borderId="0" xfId="0" applyNumberFormat="1" applyFont="1" applyFill="1" applyAlignment="1">
      <alignment horizontal="center" vertical="center" wrapText="1"/>
    </xf>
    <xf numFmtId="2" fontId="181" fillId="15" borderId="0" xfId="0" applyNumberFormat="1" applyFont="1" applyFill="1" applyAlignment="1">
      <alignment horizontal="center" vertical="center" wrapText="1"/>
    </xf>
    <xf numFmtId="0" fontId="180" fillId="15" borderId="0" xfId="0" applyFont="1" applyFill="1"/>
    <xf numFmtId="0" fontId="181" fillId="15" borderId="0" xfId="0" applyFont="1" applyFill="1"/>
    <xf numFmtId="166" fontId="140" fillId="15" borderId="0" xfId="0" applyNumberFormat="1" applyFont="1" applyFill="1" applyAlignment="1">
      <alignment horizontal="center" wrapText="1"/>
    </xf>
    <xf numFmtId="0" fontId="116" fillId="15" borderId="0" xfId="0" applyFont="1" applyFill="1" applyAlignment="1">
      <alignment vertical="center" wrapText="1"/>
    </xf>
    <xf numFmtId="170" fontId="161" fillId="0" borderId="69" xfId="0" applyNumberFormat="1" applyFont="1" applyBorder="1" applyAlignment="1">
      <alignment horizontal="right" vertical="center" wrapText="1"/>
    </xf>
    <xf numFmtId="168" fontId="166" fillId="0" borderId="0" xfId="0" applyNumberFormat="1" applyFont="1" applyAlignment="1">
      <alignment wrapText="1"/>
    </xf>
    <xf numFmtId="170" fontId="0" fillId="11" borderId="0" xfId="0" applyNumberFormat="1" applyFill="1" applyAlignment="1">
      <alignment horizontal="center"/>
    </xf>
    <xf numFmtId="168" fontId="75" fillId="0" borderId="0" xfId="0" applyNumberFormat="1" applyFont="1"/>
    <xf numFmtId="0" fontId="100" fillId="0" borderId="0" xfId="0" applyFont="1" applyAlignment="1">
      <alignment vertical="top"/>
    </xf>
    <xf numFmtId="170" fontId="164" fillId="11" borderId="0" xfId="0" applyNumberFormat="1" applyFont="1" applyFill="1" applyAlignment="1">
      <alignment horizontal="right" vertical="top" wrapText="1"/>
    </xf>
    <xf numFmtId="0" fontId="164" fillId="11" borderId="42" xfId="0" applyFont="1" applyFill="1" applyBorder="1" applyAlignment="1">
      <alignment horizontal="right" vertical="top" wrapText="1"/>
    </xf>
    <xf numFmtId="170" fontId="164" fillId="11" borderId="27" xfId="0" applyNumberFormat="1" applyFont="1" applyFill="1" applyBorder="1" applyAlignment="1">
      <alignment horizontal="right" vertical="center" wrapText="1"/>
    </xf>
    <xf numFmtId="0" fontId="0" fillId="11" borderId="27" xfId="0" applyFill="1" applyBorder="1" applyAlignment="1">
      <alignment horizontal="center" vertical="center"/>
    </xf>
    <xf numFmtId="0" fontId="75" fillId="11" borderId="31" xfId="0" applyFont="1" applyFill="1" applyBorder="1" applyAlignment="1">
      <alignment horizontal="right" vertical="center"/>
    </xf>
    <xf numFmtId="170" fontId="164" fillId="11" borderId="24" xfId="0" applyNumberFormat="1" applyFont="1" applyFill="1" applyBorder="1" applyAlignment="1">
      <alignment horizontal="right" wrapText="1"/>
    </xf>
    <xf numFmtId="168" fontId="0" fillId="11" borderId="42" xfId="0" applyNumberFormat="1" applyFill="1" applyBorder="1" applyAlignment="1">
      <alignment horizontal="right" vertical="center"/>
    </xf>
    <xf numFmtId="168" fontId="0" fillId="11" borderId="40" xfId="0" applyNumberFormat="1" applyFill="1" applyBorder="1" applyAlignment="1">
      <alignment horizontal="right" vertical="center"/>
    </xf>
    <xf numFmtId="168" fontId="111" fillId="11" borderId="40" xfId="0" applyNumberFormat="1" applyFont="1" applyFill="1" applyBorder="1" applyAlignment="1">
      <alignment horizontal="right" vertical="center"/>
    </xf>
    <xf numFmtId="0" fontId="131" fillId="11" borderId="39" xfId="0" applyFont="1" applyFill="1" applyBorder="1" applyAlignment="1">
      <alignment horizontal="center" vertical="center"/>
    </xf>
    <xf numFmtId="0" fontId="131" fillId="11" borderId="29" xfId="0" applyFont="1" applyFill="1" applyBorder="1" applyAlignment="1">
      <alignment horizontal="center" vertical="center"/>
    </xf>
    <xf numFmtId="0" fontId="131" fillId="11" borderId="24" xfId="0" applyFont="1" applyFill="1" applyBorder="1" applyAlignment="1">
      <alignment horizontal="center" vertical="center"/>
    </xf>
    <xf numFmtId="171" fontId="0" fillId="11" borderId="40" xfId="9" applyNumberFormat="1" applyFont="1" applyFill="1" applyBorder="1" applyAlignment="1" applyProtection="1">
      <alignment horizontal="center" vertical="center"/>
    </xf>
    <xf numFmtId="171" fontId="0" fillId="11" borderId="31" xfId="9" applyNumberFormat="1" applyFont="1" applyFill="1" applyBorder="1" applyAlignment="1" applyProtection="1">
      <alignment horizontal="center" vertical="center"/>
    </xf>
    <xf numFmtId="9" fontId="75" fillId="11" borderId="41" xfId="0" applyNumberFormat="1" applyFont="1" applyFill="1" applyBorder="1" applyAlignment="1">
      <alignment horizontal="center" vertical="center"/>
    </xf>
    <xf numFmtId="0" fontId="131" fillId="11" borderId="39" xfId="0" applyFont="1" applyFill="1" applyBorder="1" applyAlignment="1">
      <alignment horizontal="center"/>
    </xf>
    <xf numFmtId="0" fontId="131" fillId="11" borderId="29" xfId="0" applyFont="1" applyFill="1" applyBorder="1" applyAlignment="1">
      <alignment horizontal="center"/>
    </xf>
    <xf numFmtId="0" fontId="131" fillId="11" borderId="24" xfId="0" applyFont="1" applyFill="1" applyBorder="1" applyAlignment="1">
      <alignment horizontal="center"/>
    </xf>
    <xf numFmtId="171" fontId="0" fillId="11" borderId="42" xfId="9" applyNumberFormat="1" applyFont="1" applyFill="1" applyBorder="1" applyAlignment="1" applyProtection="1">
      <alignment horizontal="center" vertical="center"/>
    </xf>
    <xf numFmtId="171" fontId="0" fillId="11" borderId="0" xfId="9" applyNumberFormat="1" applyFont="1" applyFill="1" applyBorder="1" applyAlignment="1" applyProtection="1">
      <alignment horizontal="center" vertical="center"/>
    </xf>
    <xf numFmtId="9" fontId="75" fillId="11" borderId="27" xfId="0" applyNumberFormat="1" applyFont="1" applyFill="1" applyBorder="1" applyAlignment="1">
      <alignment horizontal="center" vertical="center"/>
    </xf>
    <xf numFmtId="9" fontId="0" fillId="11" borderId="40" xfId="8" applyFont="1" applyFill="1" applyBorder="1" applyAlignment="1" applyProtection="1">
      <alignment horizontal="center"/>
    </xf>
    <xf numFmtId="9" fontId="0" fillId="11" borderId="31" xfId="8" applyFont="1" applyFill="1" applyBorder="1" applyAlignment="1" applyProtection="1">
      <alignment horizontal="center"/>
    </xf>
    <xf numFmtId="9" fontId="75" fillId="11" borderId="41" xfId="0" applyNumberFormat="1" applyFont="1" applyFill="1" applyBorder="1" applyAlignment="1">
      <alignment horizontal="center"/>
    </xf>
    <xf numFmtId="168" fontId="0" fillId="0" borderId="0" xfId="0" applyNumberFormat="1"/>
    <xf numFmtId="0" fontId="163" fillId="0" borderId="0" xfId="0" applyFont="1" applyAlignment="1">
      <alignment horizontal="center" wrapText="1"/>
    </xf>
    <xf numFmtId="170" fontId="164" fillId="0" borderId="0" xfId="0" applyNumberFormat="1" applyFont="1" applyAlignment="1">
      <alignment horizontal="right" vertical="center" wrapText="1"/>
    </xf>
    <xf numFmtId="0" fontId="162" fillId="0" borderId="0" xfId="0" applyFont="1" applyAlignment="1">
      <alignment horizontal="left" vertical="center"/>
    </xf>
    <xf numFmtId="1" fontId="154" fillId="7" borderId="69" xfId="0" applyNumberFormat="1" applyFont="1" applyFill="1" applyBorder="1" applyAlignment="1" applyProtection="1">
      <alignment horizontal="right"/>
      <protection locked="0"/>
    </xf>
    <xf numFmtId="20" fontId="154" fillId="7" borderId="69" xfId="0" applyNumberFormat="1" applyFont="1" applyFill="1" applyBorder="1" applyAlignment="1" applyProtection="1">
      <alignment horizontal="right"/>
      <protection locked="0"/>
    </xf>
    <xf numFmtId="170" fontId="168" fillId="0" borderId="69" xfId="0" applyNumberFormat="1" applyFont="1" applyBorder="1" applyAlignment="1">
      <alignment horizontal="right" vertical="center" wrapText="1"/>
    </xf>
    <xf numFmtId="170" fontId="159" fillId="0" borderId="69" xfId="0" applyNumberFormat="1" applyFont="1" applyBorder="1" applyAlignment="1">
      <alignment horizontal="right" vertical="center" wrapText="1"/>
    </xf>
    <xf numFmtId="170" fontId="164" fillId="0" borderId="0" xfId="0" applyNumberFormat="1" applyFont="1" applyAlignment="1">
      <alignment horizontal="right" vertical="top" wrapText="1"/>
    </xf>
    <xf numFmtId="168" fontId="162" fillId="7" borderId="0" xfId="0" applyNumberFormat="1" applyFont="1" applyFill="1" applyProtection="1">
      <protection locked="0"/>
    </xf>
    <xf numFmtId="170" fontId="164" fillId="0" borderId="69" xfId="0" applyNumberFormat="1" applyFont="1" applyBorder="1" applyAlignment="1">
      <alignment horizontal="right" vertical="center" wrapText="1"/>
    </xf>
    <xf numFmtId="168" fontId="162" fillId="7" borderId="69" xfId="0" applyNumberFormat="1" applyFont="1" applyFill="1" applyBorder="1" applyAlignment="1" applyProtection="1">
      <alignment vertical="center"/>
      <protection locked="0"/>
    </xf>
    <xf numFmtId="168" fontId="162" fillId="7" borderId="69" xfId="0" applyNumberFormat="1" applyFont="1" applyFill="1" applyBorder="1" applyProtection="1">
      <protection locked="0"/>
    </xf>
    <xf numFmtId="0" fontId="167" fillId="0" borderId="0" xfId="0" applyFont="1" applyAlignment="1">
      <alignment horizontal="center" wrapText="1"/>
    </xf>
    <xf numFmtId="169" fontId="0" fillId="0" borderId="69" xfId="8" applyNumberFormat="1" applyFont="1" applyBorder="1" applyAlignment="1" applyProtection="1">
      <alignment vertical="center"/>
    </xf>
    <xf numFmtId="0" fontId="158" fillId="0" borderId="0" xfId="0" applyFont="1" applyAlignment="1">
      <alignment horizontal="center" wrapText="1"/>
    </xf>
    <xf numFmtId="0" fontId="75" fillId="0" borderId="0" xfId="0" applyFont="1" applyAlignment="1">
      <alignment horizontal="right"/>
    </xf>
    <xf numFmtId="166" fontId="142" fillId="0" borderId="0" xfId="0" applyNumberFormat="1" applyFont="1" applyAlignment="1">
      <alignment vertical="top" wrapText="1"/>
    </xf>
    <xf numFmtId="0" fontId="81" fillId="3" borderId="35" xfId="0" applyFont="1" applyFill="1" applyBorder="1" applyAlignment="1">
      <alignment vertical="top" wrapText="1"/>
    </xf>
    <xf numFmtId="0" fontId="153" fillId="0" borderId="0" xfId="0" applyFont="1" applyAlignment="1">
      <alignment horizontal="left" wrapText="1"/>
    </xf>
    <xf numFmtId="0" fontId="26" fillId="0" borderId="0" xfId="0" applyFont="1" applyAlignment="1">
      <alignment horizontal="left" vertical="center"/>
    </xf>
    <xf numFmtId="0" fontId="27" fillId="0" borderId="0" xfId="0" applyFont="1" applyAlignment="1">
      <alignment horizontal="center" vertical="center" wrapText="1"/>
    </xf>
    <xf numFmtId="49" fontId="9" fillId="0" borderId="0" xfId="0" applyNumberFormat="1" applyFont="1" applyAlignment="1">
      <alignment vertical="center" wrapText="1"/>
    </xf>
    <xf numFmtId="0" fontId="27" fillId="0" borderId="0" xfId="0" applyFont="1" applyAlignment="1">
      <alignment horizontal="justify" vertical="center" wrapText="1"/>
    </xf>
    <xf numFmtId="0" fontId="122" fillId="13" borderId="19" xfId="0" applyFont="1" applyFill="1" applyBorder="1" applyAlignment="1" applyProtection="1">
      <alignment horizontal="center" vertical="center" wrapText="1"/>
      <protection locked="0"/>
    </xf>
    <xf numFmtId="0" fontId="90" fillId="13" borderId="34" xfId="0" applyFont="1" applyFill="1" applyBorder="1" applyAlignment="1">
      <alignment horizontal="left" wrapText="1"/>
    </xf>
    <xf numFmtId="0" fontId="186" fillId="0" borderId="0" xfId="0" applyFont="1" applyAlignment="1">
      <alignment wrapText="1"/>
    </xf>
    <xf numFmtId="0" fontId="24" fillId="5" borderId="8" xfId="0" applyFont="1" applyFill="1" applyBorder="1" applyAlignment="1">
      <alignment horizontal="center" vertical="center" wrapText="1"/>
    </xf>
    <xf numFmtId="166" fontId="7" fillId="18" borderId="0" xfId="0" applyNumberFormat="1" applyFont="1" applyFill="1" applyAlignment="1">
      <alignment wrapText="1"/>
    </xf>
    <xf numFmtId="166" fontId="8" fillId="18" borderId="0" xfId="0" applyNumberFormat="1" applyFont="1" applyFill="1" applyAlignment="1">
      <alignment horizontal="left" wrapText="1"/>
    </xf>
    <xf numFmtId="166" fontId="7" fillId="18" borderId="0" xfId="0" applyNumberFormat="1" applyFont="1" applyFill="1" applyAlignment="1">
      <alignment vertical="center"/>
    </xf>
    <xf numFmtId="166" fontId="8" fillId="18" borderId="0" xfId="0" applyNumberFormat="1" applyFont="1" applyFill="1" applyAlignment="1">
      <alignment horizontal="center" vertical="center"/>
    </xf>
    <xf numFmtId="0" fontId="100" fillId="18" borderId="0" xfId="0" applyFont="1" applyFill="1"/>
    <xf numFmtId="0" fontId="0" fillId="18" borderId="0" xfId="0" applyFill="1" applyAlignment="1">
      <alignment wrapText="1"/>
    </xf>
    <xf numFmtId="0" fontId="21" fillId="18" borderId="0" xfId="0" applyFont="1" applyFill="1"/>
    <xf numFmtId="0" fontId="0" fillId="19" borderId="0" xfId="0" applyFill="1" applyAlignment="1">
      <alignment vertical="top"/>
    </xf>
    <xf numFmtId="0" fontId="0" fillId="19" borderId="0" xfId="0" applyFill="1"/>
    <xf numFmtId="0" fontId="60" fillId="19" borderId="0" xfId="258" applyFill="1" applyBorder="1" applyProtection="1"/>
    <xf numFmtId="0" fontId="111" fillId="19" borderId="0" xfId="0" applyFont="1" applyFill="1"/>
    <xf numFmtId="0" fontId="0" fillId="0" borderId="0" xfId="0" applyAlignment="1">
      <alignment horizontal="center" textRotation="255"/>
    </xf>
    <xf numFmtId="0" fontId="152" fillId="11" borderId="64" xfId="0" applyFont="1" applyFill="1" applyBorder="1" applyAlignment="1">
      <alignment horizontal="right"/>
    </xf>
    <xf numFmtId="171" fontId="0" fillId="11" borderId="35" xfId="9" applyNumberFormat="1" applyFont="1" applyFill="1" applyBorder="1" applyAlignment="1" applyProtection="1">
      <alignment horizontal="right"/>
    </xf>
    <xf numFmtId="171" fontId="0" fillId="11" borderId="57" xfId="9" applyNumberFormat="1" applyFont="1" applyFill="1" applyBorder="1" applyAlignment="1" applyProtection="1">
      <alignment horizontal="right"/>
    </xf>
    <xf numFmtId="0" fontId="131" fillId="11" borderId="63" xfId="0" applyFont="1" applyFill="1" applyBorder="1" applyAlignment="1">
      <alignment horizontal="right"/>
    </xf>
    <xf numFmtId="168" fontId="0" fillId="11" borderId="34" xfId="0" applyNumberFormat="1" applyFill="1" applyBorder="1" applyAlignment="1">
      <alignment horizontal="right"/>
    </xf>
    <xf numFmtId="168" fontId="0" fillId="11" borderId="56" xfId="0" applyNumberFormat="1" applyFill="1" applyBorder="1" applyAlignment="1">
      <alignment horizontal="right"/>
    </xf>
    <xf numFmtId="170" fontId="164" fillId="11" borderId="16" xfId="0" applyNumberFormat="1" applyFont="1" applyFill="1" applyBorder="1" applyAlignment="1">
      <alignment horizontal="right" vertical="top" wrapText="1"/>
    </xf>
    <xf numFmtId="170" fontId="164" fillId="11" borderId="17" xfId="0" applyNumberFormat="1" applyFont="1" applyFill="1" applyBorder="1" applyAlignment="1">
      <alignment horizontal="right" vertical="center" wrapText="1"/>
    </xf>
    <xf numFmtId="0" fontId="164" fillId="11" borderId="32" xfId="0" applyFont="1" applyFill="1" applyBorder="1" applyAlignment="1">
      <alignment horizontal="right" vertical="top" wrapText="1"/>
    </xf>
    <xf numFmtId="170" fontId="164" fillId="11" borderId="10" xfId="0" applyNumberFormat="1" applyFont="1" applyFill="1" applyBorder="1" applyAlignment="1">
      <alignment horizontal="right" vertical="center" wrapText="1"/>
    </xf>
    <xf numFmtId="0" fontId="0" fillId="11" borderId="32" xfId="0" applyFill="1" applyBorder="1" applyAlignment="1">
      <alignment horizontal="right" vertical="top"/>
    </xf>
    <xf numFmtId="0" fontId="0" fillId="11" borderId="10" xfId="0" applyFill="1" applyBorder="1" applyAlignment="1">
      <alignment horizontal="right" vertical="center"/>
    </xf>
    <xf numFmtId="168" fontId="0" fillId="11" borderId="32" xfId="0" applyNumberFormat="1" applyFill="1" applyBorder="1" applyAlignment="1">
      <alignment horizontal="right" vertical="center"/>
    </xf>
    <xf numFmtId="0" fontId="0" fillId="11" borderId="71" xfId="0" applyFill="1" applyBorder="1" applyAlignment="1">
      <alignment horizontal="right" vertical="center"/>
    </xf>
    <xf numFmtId="0" fontId="75" fillId="11" borderId="18" xfId="0" applyFont="1" applyFill="1" applyBorder="1" applyAlignment="1">
      <alignment horizontal="right" vertical="center"/>
    </xf>
    <xf numFmtId="0" fontId="0" fillId="11" borderId="3" xfId="0" applyFill="1" applyBorder="1" applyAlignment="1">
      <alignment horizontal="right" vertical="center"/>
    </xf>
    <xf numFmtId="1" fontId="163" fillId="7" borderId="68" xfId="0" applyNumberFormat="1" applyFont="1" applyFill="1" applyBorder="1" applyAlignment="1" applyProtection="1">
      <alignment vertical="center"/>
      <protection locked="0"/>
    </xf>
    <xf numFmtId="170" fontId="164" fillId="11" borderId="0" xfId="0" applyNumberFormat="1" applyFont="1" applyFill="1" applyAlignment="1">
      <alignment horizontal="right" vertical="center" wrapText="1"/>
    </xf>
    <xf numFmtId="0" fontId="0" fillId="11" borderId="15" xfId="0" applyFill="1" applyBorder="1" applyAlignment="1">
      <alignment horizontal="right" vertical="top"/>
    </xf>
    <xf numFmtId="0" fontId="0" fillId="11" borderId="15" xfId="0" applyFill="1" applyBorder="1" applyAlignment="1">
      <alignment horizontal="right"/>
    </xf>
    <xf numFmtId="170" fontId="164" fillId="11" borderId="16" xfId="0" applyNumberFormat="1" applyFont="1" applyFill="1" applyBorder="1" applyAlignment="1">
      <alignment horizontal="right" wrapText="1"/>
    </xf>
    <xf numFmtId="170" fontId="164" fillId="11" borderId="17" xfId="0" applyNumberFormat="1" applyFont="1" applyFill="1" applyBorder="1" applyAlignment="1">
      <alignment horizontal="right" wrapText="1"/>
    </xf>
    <xf numFmtId="168" fontId="0" fillId="11" borderId="70" xfId="0" applyNumberFormat="1" applyFill="1" applyBorder="1" applyAlignment="1">
      <alignment horizontal="right" vertical="center"/>
    </xf>
    <xf numFmtId="168" fontId="0" fillId="11" borderId="4" xfId="0" applyNumberFormat="1" applyFill="1" applyBorder="1" applyAlignment="1">
      <alignment horizontal="right" vertical="center"/>
    </xf>
    <xf numFmtId="0" fontId="0" fillId="13" borderId="0" xfId="0" applyFill="1" applyAlignment="1">
      <alignment horizontal="right" vertical="center"/>
    </xf>
    <xf numFmtId="168" fontId="0" fillId="13" borderId="0" xfId="0" applyNumberFormat="1" applyFill="1" applyAlignment="1">
      <alignment horizontal="right" vertical="center"/>
    </xf>
    <xf numFmtId="20" fontId="0" fillId="13" borderId="0" xfId="0" applyNumberFormat="1" applyFill="1" applyAlignment="1">
      <alignment horizontal="right" vertical="center"/>
    </xf>
    <xf numFmtId="0" fontId="75" fillId="13" borderId="0" xfId="0" applyFont="1" applyFill="1" applyAlignment="1">
      <alignment horizontal="right"/>
    </xf>
    <xf numFmtId="1" fontId="0" fillId="11" borderId="0" xfId="0" applyNumberFormat="1" applyFill="1" applyAlignment="1">
      <alignment vertical="center"/>
    </xf>
    <xf numFmtId="1" fontId="0" fillId="11" borderId="13" xfId="0" applyNumberFormat="1" applyFill="1" applyBorder="1" applyAlignment="1">
      <alignment horizontal="left"/>
    </xf>
    <xf numFmtId="0" fontId="116" fillId="11" borderId="7" xfId="0" applyFont="1" applyFill="1" applyBorder="1" applyAlignment="1">
      <alignment horizontal="left"/>
    </xf>
    <xf numFmtId="168" fontId="0" fillId="11" borderId="1" xfId="0" applyNumberFormat="1" applyFill="1" applyBorder="1" applyAlignment="1">
      <alignment horizontal="center"/>
    </xf>
    <xf numFmtId="0" fontId="131" fillId="11" borderId="63" xfId="0" applyFont="1" applyFill="1" applyBorder="1" applyAlignment="1">
      <alignment horizontal="right" vertical="center"/>
    </xf>
    <xf numFmtId="0" fontId="153" fillId="11" borderId="64" xfId="0" applyFont="1" applyFill="1" applyBorder="1" applyAlignment="1">
      <alignment horizontal="right" vertical="center"/>
    </xf>
    <xf numFmtId="168" fontId="0" fillId="11" borderId="35" xfId="0" applyNumberFormat="1" applyFill="1" applyBorder="1" applyAlignment="1">
      <alignment horizontal="right"/>
    </xf>
    <xf numFmtId="168" fontId="0" fillId="11" borderId="57" xfId="0" applyNumberFormat="1" applyFill="1" applyBorder="1" applyAlignment="1">
      <alignment horizontal="right"/>
    </xf>
    <xf numFmtId="168" fontId="0" fillId="11" borderId="4" xfId="0" applyNumberFormat="1" applyFill="1" applyBorder="1" applyAlignment="1">
      <alignment horizontal="right"/>
    </xf>
    <xf numFmtId="168" fontId="153" fillId="11" borderId="3" xfId="0" applyNumberFormat="1" applyFont="1" applyFill="1" applyBorder="1" applyAlignment="1">
      <alignment horizontal="right"/>
    </xf>
    <xf numFmtId="0" fontId="0" fillId="11" borderId="63" xfId="0" applyFill="1" applyBorder="1"/>
    <xf numFmtId="0" fontId="0" fillId="11" borderId="34" xfId="0" applyFill="1" applyBorder="1"/>
    <xf numFmtId="0" fontId="0" fillId="11" borderId="56" xfId="0" applyFill="1" applyBorder="1"/>
    <xf numFmtId="168" fontId="0" fillId="11" borderId="3" xfId="0" applyNumberFormat="1" applyFill="1" applyBorder="1" applyAlignment="1">
      <alignment horizontal="right"/>
    </xf>
    <xf numFmtId="1" fontId="75" fillId="7" borderId="0" xfId="0" applyNumberFormat="1" applyFont="1" applyFill="1" applyAlignment="1" applyProtection="1">
      <alignment horizontal="center" vertical="center"/>
      <protection locked="0"/>
    </xf>
    <xf numFmtId="166" fontId="148" fillId="12" borderId="18" xfId="0" applyNumberFormat="1" applyFont="1" applyFill="1" applyBorder="1" applyAlignment="1">
      <alignment horizontal="right" vertical="center"/>
    </xf>
    <xf numFmtId="166" fontId="36" fillId="12" borderId="16" xfId="0" applyNumberFormat="1" applyFont="1" applyFill="1" applyBorder="1" applyAlignment="1">
      <alignment vertical="center"/>
    </xf>
    <xf numFmtId="0" fontId="70" fillId="11" borderId="0" xfId="0" applyFont="1" applyFill="1" applyAlignment="1">
      <alignment horizontal="right" vertical="center" wrapText="1"/>
    </xf>
    <xf numFmtId="0" fontId="70" fillId="11" borderId="0" xfId="0" applyFont="1" applyFill="1" applyAlignment="1">
      <alignment horizontal="right" vertical="center"/>
    </xf>
    <xf numFmtId="0" fontId="42" fillId="11" borderId="0" xfId="0" applyFont="1" applyFill="1" applyAlignment="1">
      <alignment horizontal="right" vertical="center"/>
    </xf>
    <xf numFmtId="0" fontId="42" fillId="11" borderId="0" xfId="0" applyFont="1" applyFill="1"/>
    <xf numFmtId="0" fontId="93" fillId="0" borderId="0" xfId="0" applyFont="1" applyAlignment="1">
      <alignment vertical="top" textRotation="255"/>
    </xf>
    <xf numFmtId="0" fontId="36" fillId="0" borderId="15" xfId="0" applyFont="1" applyBorder="1" applyAlignment="1">
      <alignment vertical="center" wrapText="1"/>
    </xf>
    <xf numFmtId="0" fontId="147" fillId="0" borderId="4" xfId="0" applyFont="1" applyBorder="1" applyAlignment="1">
      <alignment vertical="center" wrapText="1"/>
    </xf>
    <xf numFmtId="0" fontId="147" fillId="0" borderId="72" xfId="0" applyFont="1" applyBorder="1" applyAlignment="1">
      <alignment horizontal="left" vertical="center" wrapText="1" indent="1"/>
    </xf>
    <xf numFmtId="0" fontId="147" fillId="0" borderId="70" xfId="0" applyFont="1" applyBorder="1" applyAlignment="1">
      <alignment horizontal="left" vertical="center" wrapText="1" indent="1"/>
    </xf>
    <xf numFmtId="49" fontId="22" fillId="0" borderId="0" xfId="0" applyNumberFormat="1" applyFont="1" applyAlignment="1">
      <alignment horizontal="left" vertical="center"/>
    </xf>
    <xf numFmtId="0" fontId="70" fillId="7" borderId="4" xfId="0" applyFont="1" applyFill="1" applyBorder="1" applyAlignment="1">
      <alignment wrapText="1"/>
    </xf>
    <xf numFmtId="0" fontId="131" fillId="0" borderId="21" xfId="0" applyFont="1" applyBorder="1" applyAlignment="1">
      <alignment vertical="center" wrapText="1"/>
    </xf>
    <xf numFmtId="0" fontId="131" fillId="0" borderId="0" xfId="0" applyFont="1" applyAlignment="1">
      <alignment vertical="center" wrapText="1"/>
    </xf>
    <xf numFmtId="0" fontId="190" fillId="2" borderId="23" xfId="0" applyFont="1" applyFill="1" applyBorder="1" applyAlignment="1">
      <alignment vertical="center" wrapText="1"/>
    </xf>
    <xf numFmtId="0" fontId="189" fillId="7" borderId="23" xfId="0" applyFont="1" applyFill="1" applyBorder="1" applyAlignment="1">
      <alignment vertical="center" wrapText="1"/>
    </xf>
    <xf numFmtId="0" fontId="175" fillId="12" borderId="0" xfId="0" applyFont="1" applyFill="1" applyAlignment="1">
      <alignment horizontal="left" vertical="center" wrapText="1"/>
    </xf>
    <xf numFmtId="0" fontId="150" fillId="12" borderId="0" xfId="0" applyFont="1" applyFill="1" applyAlignment="1">
      <alignment horizontal="left" vertical="center" wrapText="1"/>
    </xf>
    <xf numFmtId="0" fontId="75" fillId="12" borderId="0" xfId="0" applyFont="1" applyFill="1" applyAlignment="1">
      <alignment horizontal="center" vertical="center"/>
    </xf>
    <xf numFmtId="0" fontId="42" fillId="3" borderId="35" xfId="0" applyFont="1" applyFill="1" applyBorder="1" applyAlignment="1">
      <alignment vertical="top" wrapText="1"/>
    </xf>
    <xf numFmtId="0" fontId="131" fillId="0" borderId="0" xfId="0" applyFont="1" applyAlignment="1">
      <alignment vertical="top" wrapText="1"/>
    </xf>
    <xf numFmtId="0" fontId="90" fillId="13" borderId="0" xfId="0" applyFont="1" applyFill="1" applyAlignment="1">
      <alignment vertical="center" wrapText="1"/>
    </xf>
    <xf numFmtId="0" fontId="90" fillId="14" borderId="0" xfId="0" applyFont="1" applyFill="1" applyAlignment="1">
      <alignment vertical="center" wrapText="1"/>
    </xf>
    <xf numFmtId="0" fontId="170" fillId="12" borderId="0" xfId="0" applyFont="1" applyFill="1" applyAlignment="1">
      <alignment horizontal="center" vertical="top" wrapText="1"/>
    </xf>
    <xf numFmtId="166" fontId="9" fillId="12" borderId="0" xfId="0" applyNumberFormat="1" applyFont="1" applyFill="1" applyAlignment="1">
      <alignment vertical="center"/>
    </xf>
    <xf numFmtId="0" fontId="120" fillId="0" borderId="16" xfId="0" applyFont="1" applyBorder="1"/>
    <xf numFmtId="0" fontId="70" fillId="0" borderId="16" xfId="0" applyFont="1" applyBorder="1" applyAlignment="1">
      <alignment wrapText="1"/>
    </xf>
    <xf numFmtId="0" fontId="45" fillId="0" borderId="16" xfId="0" applyFont="1" applyBorder="1"/>
    <xf numFmtId="0" fontId="10" fillId="13" borderId="63" xfId="0" applyFont="1" applyFill="1" applyBorder="1" applyAlignment="1">
      <alignment wrapText="1"/>
    </xf>
    <xf numFmtId="0" fontId="26" fillId="14" borderId="59" xfId="0" applyFont="1" applyFill="1" applyBorder="1" applyAlignment="1">
      <alignment wrapText="1"/>
    </xf>
    <xf numFmtId="0" fontId="102" fillId="3" borderId="64" xfId="0" applyFont="1" applyFill="1" applyBorder="1" applyAlignment="1">
      <alignment horizontal="left" wrapText="1"/>
    </xf>
    <xf numFmtId="0" fontId="8" fillId="13" borderId="67" xfId="0" applyFont="1" applyFill="1" applyBorder="1" applyAlignment="1">
      <alignment wrapText="1"/>
    </xf>
    <xf numFmtId="0" fontId="21" fillId="14" borderId="59" xfId="0" applyFont="1" applyFill="1" applyBorder="1" applyAlignment="1">
      <alignment wrapText="1"/>
    </xf>
    <xf numFmtId="0" fontId="21" fillId="3" borderId="64" xfId="0" applyFont="1" applyFill="1" applyBorder="1" applyAlignment="1">
      <alignment horizontal="left" wrapText="1"/>
    </xf>
    <xf numFmtId="0" fontId="21" fillId="0" borderId="18" xfId="0" applyFont="1" applyBorder="1"/>
    <xf numFmtId="0" fontId="122" fillId="13" borderId="6" xfId="0" applyFont="1" applyFill="1" applyBorder="1" applyAlignment="1" applyProtection="1">
      <alignment horizontal="center" vertical="center"/>
      <protection locked="0"/>
    </xf>
    <xf numFmtId="166" fontId="193" fillId="12" borderId="0" xfId="0" applyNumberFormat="1" applyFont="1" applyFill="1" applyAlignment="1">
      <alignment vertical="center"/>
    </xf>
    <xf numFmtId="166" fontId="148" fillId="12" borderId="31" xfId="0" applyNumberFormat="1" applyFont="1" applyFill="1" applyBorder="1" applyAlignment="1">
      <alignment vertical="center"/>
    </xf>
    <xf numFmtId="166" fontId="194" fillId="12" borderId="0" xfId="0" applyNumberFormat="1" applyFont="1" applyFill="1" applyAlignment="1">
      <alignment vertical="center"/>
    </xf>
    <xf numFmtId="0" fontId="45" fillId="0" borderId="16" xfId="0" applyFont="1" applyBorder="1" applyAlignment="1">
      <alignment horizontal="left"/>
    </xf>
    <xf numFmtId="0" fontId="104" fillId="0" borderId="16" xfId="0" applyFont="1" applyBorder="1" applyAlignment="1">
      <alignment horizontal="right"/>
    </xf>
    <xf numFmtId="0" fontId="74" fillId="0" borderId="16" xfId="0" applyFont="1" applyBorder="1"/>
    <xf numFmtId="9" fontId="24" fillId="11" borderId="18" xfId="8" applyFont="1" applyFill="1" applyBorder="1" applyAlignment="1" applyProtection="1">
      <alignment horizontal="center" vertical="center" wrapText="1"/>
    </xf>
    <xf numFmtId="9" fontId="32" fillId="11" borderId="43" xfId="8" applyFont="1" applyFill="1" applyBorder="1" applyAlignment="1" applyProtection="1">
      <alignment horizontal="center" vertical="center" wrapText="1"/>
    </xf>
    <xf numFmtId="9" fontId="24" fillId="11" borderId="45" xfId="8" applyFont="1" applyFill="1" applyBorder="1" applyAlignment="1" applyProtection="1">
      <alignment horizontal="center" vertical="center" wrapText="1"/>
    </xf>
    <xf numFmtId="9" fontId="32" fillId="11" borderId="46" xfId="8" applyFont="1" applyFill="1" applyBorder="1" applyAlignment="1" applyProtection="1">
      <alignment horizontal="center" vertical="center" wrapText="1"/>
    </xf>
    <xf numFmtId="0" fontId="26" fillId="11" borderId="18" xfId="0" applyFont="1" applyFill="1" applyBorder="1"/>
    <xf numFmtId="0" fontId="25" fillId="11" borderId="18" xfId="0" applyFont="1" applyFill="1" applyBorder="1"/>
    <xf numFmtId="0" fontId="82" fillId="11" borderId="18" xfId="0" applyFont="1" applyFill="1" applyBorder="1" applyAlignment="1">
      <alignment horizontal="center" vertical="center" wrapText="1"/>
    </xf>
    <xf numFmtId="166" fontId="140" fillId="12" borderId="16" xfId="0" applyNumberFormat="1" applyFont="1" applyFill="1" applyBorder="1" applyAlignment="1">
      <alignment vertical="center" wrapText="1"/>
    </xf>
    <xf numFmtId="166" fontId="89" fillId="12" borderId="0" xfId="0" applyNumberFormat="1" applyFont="1" applyFill="1" applyAlignment="1">
      <alignment vertical="center" wrapText="1"/>
    </xf>
    <xf numFmtId="166" fontId="89" fillId="12" borderId="18" xfId="0" applyNumberFormat="1" applyFont="1" applyFill="1" applyBorder="1" applyAlignment="1">
      <alignment vertical="center" wrapText="1"/>
    </xf>
    <xf numFmtId="0" fontId="26" fillId="0" borderId="1" xfId="0" applyFont="1" applyBorder="1" applyAlignment="1">
      <alignment wrapText="1"/>
    </xf>
    <xf numFmtId="0" fontId="122" fillId="13" borderId="6" xfId="0" applyFont="1" applyFill="1" applyBorder="1" applyAlignment="1">
      <alignment horizontal="center" vertical="center"/>
    </xf>
    <xf numFmtId="0" fontId="152" fillId="0" borderId="0" xfId="0" applyFont="1" applyAlignment="1">
      <alignment vertical="top" wrapText="1"/>
    </xf>
    <xf numFmtId="166" fontId="9" fillId="18" borderId="0" xfId="0" applyNumberFormat="1" applyFont="1" applyFill="1" applyAlignment="1">
      <alignment horizontal="left" vertical="center"/>
    </xf>
    <xf numFmtId="166" fontId="195" fillId="11" borderId="0" xfId="0" applyNumberFormat="1" applyFont="1" applyFill="1" applyAlignment="1">
      <alignment vertical="center"/>
    </xf>
    <xf numFmtId="0" fontId="195" fillId="11" borderId="0" xfId="0" applyFont="1" applyFill="1" applyAlignment="1">
      <alignment vertical="center"/>
    </xf>
    <xf numFmtId="0" fontId="175" fillId="0" borderId="0" xfId="0" applyFont="1" applyAlignment="1">
      <alignment wrapText="1"/>
    </xf>
    <xf numFmtId="1" fontId="171" fillId="0" borderId="0" xfId="0" applyNumberFormat="1" applyFont="1" applyAlignment="1">
      <alignment vertical="center"/>
    </xf>
    <xf numFmtId="166" fontId="13" fillId="18" borderId="0" xfId="0" applyNumberFormat="1" applyFont="1" applyFill="1" applyAlignment="1">
      <alignment horizontal="left" wrapText="1"/>
    </xf>
    <xf numFmtId="166" fontId="8" fillId="18" borderId="0" xfId="0" applyNumberFormat="1" applyFont="1" applyFill="1" applyAlignment="1">
      <alignment vertical="center"/>
    </xf>
    <xf numFmtId="166" fontId="82" fillId="18" borderId="0" xfId="0" applyNumberFormat="1" applyFont="1" applyFill="1" applyAlignment="1">
      <alignment horizontal="left" vertical="center"/>
    </xf>
    <xf numFmtId="0" fontId="196" fillId="0" borderId="11" xfId="0" applyFont="1" applyBorder="1" applyAlignment="1">
      <alignment horizontal="right"/>
    </xf>
    <xf numFmtId="0" fontId="196" fillId="0" borderId="11" xfId="0" applyFont="1" applyBorder="1" applyAlignment="1">
      <alignment horizontal="right" vertical="center"/>
    </xf>
    <xf numFmtId="0" fontId="100" fillId="18" borderId="16" xfId="0" applyFont="1" applyFill="1" applyBorder="1"/>
    <xf numFmtId="166" fontId="187" fillId="18" borderId="0" xfId="0" applyNumberFormat="1" applyFont="1" applyFill="1" applyAlignment="1">
      <alignment horizontal="left" wrapText="1"/>
    </xf>
    <xf numFmtId="166" fontId="189" fillId="12" borderId="18" xfId="0" applyNumberFormat="1" applyFont="1" applyFill="1" applyBorder="1" applyAlignment="1">
      <alignment vertical="center"/>
    </xf>
    <xf numFmtId="0" fontId="197" fillId="0" borderId="11" xfId="0" applyFont="1" applyBorder="1" applyAlignment="1">
      <alignment horizontal="right" vertical="center"/>
    </xf>
    <xf numFmtId="166" fontId="8" fillId="12" borderId="0" xfId="0" applyNumberFormat="1" applyFont="1" applyFill="1" applyAlignment="1">
      <alignment vertical="center"/>
    </xf>
    <xf numFmtId="166" fontId="126" fillId="12" borderId="18" xfId="0" applyNumberFormat="1" applyFont="1" applyFill="1" applyBorder="1" applyAlignment="1">
      <alignment vertical="center"/>
    </xf>
    <xf numFmtId="0" fontId="99" fillId="0" borderId="0" xfId="0" applyFont="1" applyAlignment="1">
      <alignment vertical="center"/>
    </xf>
    <xf numFmtId="0" fontId="0" fillId="12" borderId="0" xfId="0" applyFill="1" applyAlignment="1" applyProtection="1">
      <alignment horizontal="left" vertical="center"/>
      <protection locked="0"/>
    </xf>
    <xf numFmtId="0" fontId="42" fillId="0" borderId="74" xfId="0" applyFont="1" applyBorder="1" applyAlignment="1">
      <alignment vertical="center" wrapText="1"/>
    </xf>
    <xf numFmtId="0" fontId="102" fillId="0" borderId="11" xfId="0" applyFont="1" applyBorder="1" applyAlignment="1">
      <alignment vertical="center" wrapText="1"/>
    </xf>
    <xf numFmtId="0" fontId="25" fillId="0" borderId="31" xfId="0" applyFont="1" applyBorder="1"/>
    <xf numFmtId="49" fontId="42" fillId="15" borderId="50" xfId="0" applyNumberFormat="1" applyFont="1" applyFill="1" applyBorder="1" applyAlignment="1" applyProtection="1">
      <alignment horizontal="left" vertical="center" wrapText="1"/>
      <protection locked="0"/>
    </xf>
    <xf numFmtId="49" fontId="42" fillId="15" borderId="35" xfId="0" applyNumberFormat="1" applyFont="1" applyFill="1" applyBorder="1" applyAlignment="1" applyProtection="1">
      <alignment horizontal="left" vertical="center" wrapText="1"/>
      <protection locked="0"/>
    </xf>
    <xf numFmtId="0" fontId="138" fillId="0" borderId="0" xfId="0" applyFont="1" applyAlignment="1">
      <alignment horizontal="left" vertical="center"/>
    </xf>
    <xf numFmtId="0" fontId="90" fillId="3" borderId="50" xfId="0" applyFont="1" applyFill="1" applyBorder="1"/>
    <xf numFmtId="166" fontId="83" fillId="0" borderId="39" xfId="0" applyNumberFormat="1" applyFont="1" applyBorder="1" applyAlignment="1">
      <alignment horizontal="left" vertical="center"/>
    </xf>
    <xf numFmtId="166" fontId="9" fillId="0" borderId="24" xfId="0" applyNumberFormat="1" applyFont="1" applyBorder="1" applyAlignment="1">
      <alignment horizontal="left" vertical="center"/>
    </xf>
    <xf numFmtId="20" fontId="47" fillId="0" borderId="0" xfId="0" applyNumberFormat="1" applyFont="1" applyAlignment="1">
      <alignment horizontal="left" wrapText="1"/>
    </xf>
    <xf numFmtId="20" fontId="47" fillId="0" borderId="0" xfId="0" applyNumberFormat="1" applyFont="1" applyAlignment="1">
      <alignment wrapText="1"/>
    </xf>
    <xf numFmtId="9" fontId="4" fillId="11" borderId="42" xfId="8" applyFont="1" applyFill="1" applyBorder="1" applyAlignment="1" applyProtection="1">
      <alignment horizontal="right" vertical="center"/>
    </xf>
    <xf numFmtId="169" fontId="4" fillId="11" borderId="42" xfId="8" applyNumberFormat="1" applyFont="1" applyFill="1" applyBorder="1" applyAlignment="1" applyProtection="1">
      <alignment horizontal="left"/>
    </xf>
    <xf numFmtId="169" fontId="4" fillId="11" borderId="0" xfId="8" applyNumberFormat="1" applyFont="1" applyFill="1" applyBorder="1" applyAlignment="1" applyProtection="1">
      <alignment horizontal="right"/>
    </xf>
    <xf numFmtId="169" fontId="4" fillId="11" borderId="27" xfId="8" applyNumberFormat="1" applyFont="1" applyFill="1" applyBorder="1" applyAlignment="1" applyProtection="1">
      <alignment horizontal="right"/>
    </xf>
    <xf numFmtId="171" fontId="4" fillId="11" borderId="32" xfId="9" applyNumberFormat="1" applyFont="1" applyFill="1" applyBorder="1" applyAlignment="1" applyProtection="1">
      <alignment horizontal="right"/>
    </xf>
    <xf numFmtId="171" fontId="75" fillId="11" borderId="10" xfId="9" applyNumberFormat="1" applyFont="1" applyFill="1" applyBorder="1" applyAlignment="1" applyProtection="1">
      <alignment horizontal="right"/>
    </xf>
    <xf numFmtId="0" fontId="0" fillId="11" borderId="39" xfId="0" applyFill="1" applyBorder="1" applyAlignment="1">
      <alignment horizontal="right"/>
    </xf>
    <xf numFmtId="170" fontId="164" fillId="11" borderId="29" xfId="0" applyNumberFormat="1" applyFont="1" applyFill="1" applyBorder="1" applyAlignment="1">
      <alignment horizontal="right" wrapText="1"/>
    </xf>
    <xf numFmtId="0" fontId="137" fillId="0" borderId="0" xfId="0" applyFont="1" applyAlignment="1">
      <alignment horizontal="left" vertical="top" wrapText="1"/>
    </xf>
    <xf numFmtId="0" fontId="116" fillId="0" borderId="0" xfId="0" applyFont="1" applyAlignment="1">
      <alignment horizontal="left" vertical="center" wrapText="1"/>
    </xf>
    <xf numFmtId="0" fontId="5" fillId="0" borderId="0" xfId="0" applyFont="1" applyAlignment="1">
      <alignment horizontal="left" vertical="center" wrapText="1"/>
    </xf>
    <xf numFmtId="168" fontId="171" fillId="15" borderId="0" xfId="8" applyNumberFormat="1" applyFont="1" applyFill="1" applyAlignment="1" applyProtection="1">
      <alignment horizontal="center" wrapText="1"/>
    </xf>
    <xf numFmtId="0" fontId="171" fillId="15" borderId="0" xfId="8" applyNumberFormat="1" applyFont="1" applyFill="1" applyAlignment="1" applyProtection="1">
      <alignment horizontal="center" wrapText="1"/>
    </xf>
    <xf numFmtId="9" fontId="201" fillId="15" borderId="0" xfId="8" applyFont="1" applyFill="1" applyAlignment="1" applyProtection="1">
      <alignment horizontal="center" vertical="top" wrapText="1"/>
    </xf>
    <xf numFmtId="0" fontId="171" fillId="15" borderId="0" xfId="0" applyFont="1" applyFill="1" applyAlignment="1">
      <alignment horizontal="center" vertical="top" wrapText="1"/>
    </xf>
    <xf numFmtId="0" fontId="200" fillId="15" borderId="0" xfId="0" applyFont="1" applyFill="1" applyAlignment="1">
      <alignment horizontal="center" vertical="top" wrapText="1"/>
    </xf>
    <xf numFmtId="0" fontId="171" fillId="15" borderId="0" xfId="0" applyFont="1" applyFill="1" applyAlignment="1">
      <alignment horizontal="center" vertical="center" wrapText="1"/>
    </xf>
    <xf numFmtId="0" fontId="200" fillId="15" borderId="0" xfId="0" applyFont="1" applyFill="1" applyAlignment="1">
      <alignment horizontal="center" vertical="center" wrapText="1"/>
    </xf>
    <xf numFmtId="168" fontId="171" fillId="15" borderId="0" xfId="8" applyNumberFormat="1" applyFont="1" applyFill="1" applyAlignment="1" applyProtection="1">
      <alignment horizontal="center" vertical="center" wrapText="1"/>
    </xf>
    <xf numFmtId="9" fontId="171" fillId="15" borderId="0" xfId="8" applyFont="1" applyFill="1" applyAlignment="1" applyProtection="1">
      <alignment horizontal="center" vertical="center" wrapText="1"/>
    </xf>
    <xf numFmtId="168" fontId="171" fillId="15" borderId="0" xfId="0" applyNumberFormat="1" applyFont="1" applyFill="1" applyAlignment="1">
      <alignment horizontal="center" vertical="center" wrapText="1"/>
    </xf>
    <xf numFmtId="2" fontId="200" fillId="15" borderId="0" xfId="0" applyNumberFormat="1" applyFont="1" applyFill="1" applyAlignment="1">
      <alignment vertical="center" wrapText="1"/>
    </xf>
    <xf numFmtId="2" fontId="200" fillId="15" borderId="0" xfId="0" applyNumberFormat="1" applyFont="1" applyFill="1" applyAlignment="1">
      <alignment horizontal="center" vertical="center" wrapText="1"/>
    </xf>
    <xf numFmtId="0" fontId="171" fillId="15" borderId="0" xfId="8" applyNumberFormat="1" applyFont="1" applyFill="1" applyAlignment="1" applyProtection="1">
      <alignment horizontal="center" vertical="center" wrapText="1"/>
    </xf>
    <xf numFmtId="0" fontId="202" fillId="15" borderId="0" xfId="0" applyFont="1" applyFill="1" applyAlignment="1">
      <alignment horizontal="center" vertical="top" wrapText="1"/>
    </xf>
    <xf numFmtId="0" fontId="171" fillId="15" borderId="0" xfId="0" applyFont="1" applyFill="1" applyAlignment="1">
      <alignment horizontal="left" vertical="center" wrapText="1"/>
    </xf>
    <xf numFmtId="0" fontId="200" fillId="15" borderId="0" xfId="0" applyFont="1" applyFill="1" applyAlignment="1">
      <alignment horizontal="left" vertical="center" wrapText="1"/>
    </xf>
    <xf numFmtId="20" fontId="171" fillId="15" borderId="0" xfId="0" applyNumberFormat="1" applyFont="1" applyFill="1" applyAlignment="1">
      <alignment horizontal="center" vertical="top" wrapText="1"/>
    </xf>
    <xf numFmtId="20" fontId="200" fillId="15" borderId="0" xfId="0" applyNumberFormat="1" applyFont="1" applyFill="1" applyAlignment="1">
      <alignment horizontal="center" vertical="top" wrapText="1"/>
    </xf>
    <xf numFmtId="0" fontId="171" fillId="15" borderId="0" xfId="0" applyFont="1" applyFill="1" applyAlignment="1">
      <alignment horizontal="center" wrapText="1"/>
    </xf>
    <xf numFmtId="0" fontId="200" fillId="15" borderId="0" xfId="0" applyFont="1" applyFill="1" applyAlignment="1">
      <alignment horizontal="center" wrapText="1"/>
    </xf>
    <xf numFmtId="168" fontId="59" fillId="15" borderId="0" xfId="0" applyNumberFormat="1" applyFont="1" applyFill="1" applyAlignment="1">
      <alignment horizontal="center" wrapText="1"/>
    </xf>
    <xf numFmtId="0" fontId="59" fillId="15" borderId="0" xfId="0" applyFont="1" applyFill="1" applyAlignment="1">
      <alignment horizontal="center" wrapText="1"/>
    </xf>
    <xf numFmtId="2" fontId="200" fillId="15" borderId="0" xfId="0" applyNumberFormat="1" applyFont="1" applyFill="1" applyAlignment="1">
      <alignment horizontal="center" wrapText="1"/>
    </xf>
    <xf numFmtId="168" fontId="200" fillId="15" borderId="0" xfId="0" applyNumberFormat="1" applyFont="1" applyFill="1" applyAlignment="1">
      <alignment horizontal="center" wrapText="1"/>
    </xf>
    <xf numFmtId="168" fontId="166" fillId="7" borderId="68" xfId="0" applyNumberFormat="1" applyFont="1" applyFill="1" applyBorder="1" applyAlignment="1" applyProtection="1">
      <alignment vertical="center"/>
      <protection locked="0"/>
    </xf>
    <xf numFmtId="168" fontId="166" fillId="7" borderId="0" xfId="0" applyNumberFormat="1" applyFont="1" applyFill="1" applyAlignment="1" applyProtection="1">
      <alignment vertical="center"/>
      <protection locked="0"/>
    </xf>
    <xf numFmtId="168" fontId="166" fillId="7" borderId="69" xfId="0" applyNumberFormat="1" applyFont="1" applyFill="1" applyBorder="1" applyAlignment="1" applyProtection="1">
      <alignment vertical="center"/>
      <protection locked="0"/>
    </xf>
    <xf numFmtId="168" fontId="157" fillId="7" borderId="68" xfId="0" applyNumberFormat="1" applyFont="1" applyFill="1" applyBorder="1" applyProtection="1">
      <protection locked="0"/>
    </xf>
    <xf numFmtId="168" fontId="157" fillId="7" borderId="0" xfId="0" applyNumberFormat="1" applyFont="1" applyFill="1" applyProtection="1">
      <protection locked="0"/>
    </xf>
    <xf numFmtId="168" fontId="157" fillId="7" borderId="69" xfId="0" applyNumberFormat="1" applyFont="1" applyFill="1" applyBorder="1" applyProtection="1">
      <protection locked="0"/>
    </xf>
    <xf numFmtId="49" fontId="22" fillId="0" borderId="0" xfId="0" applyNumberFormat="1" applyFont="1" applyAlignment="1">
      <alignment horizontal="left" wrapText="1"/>
    </xf>
    <xf numFmtId="49" fontId="19" fillId="0" borderId="0" xfId="0" applyNumberFormat="1" applyFont="1" applyAlignment="1">
      <alignment horizontal="left" wrapText="1"/>
    </xf>
    <xf numFmtId="49" fontId="18" fillId="0" borderId="0" xfId="0" applyNumberFormat="1" applyFont="1" applyAlignment="1">
      <alignment horizontal="left"/>
    </xf>
    <xf numFmtId="49" fontId="18" fillId="0" borderId="27" xfId="0" applyNumberFormat="1" applyFont="1" applyBorder="1" applyAlignment="1">
      <alignment horizontal="left" wrapText="1"/>
    </xf>
    <xf numFmtId="0" fontId="13" fillId="13" borderId="34" xfId="0" applyFont="1" applyFill="1" applyBorder="1" applyAlignment="1">
      <alignment horizontal="left" vertical="center" wrapText="1"/>
    </xf>
    <xf numFmtId="0" fontId="70" fillId="11" borderId="0" xfId="0" applyFont="1" applyFill="1" applyAlignment="1">
      <alignment vertical="top" wrapText="1"/>
    </xf>
    <xf numFmtId="0" fontId="26" fillId="3" borderId="35" xfId="0" applyFont="1" applyFill="1" applyBorder="1" applyAlignment="1">
      <alignment horizontal="left" wrapText="1"/>
    </xf>
    <xf numFmtId="0" fontId="41" fillId="3" borderId="24" xfId="0" applyFont="1" applyFill="1" applyBorder="1" applyAlignment="1">
      <alignment horizontal="center" vertical="center" wrapText="1"/>
    </xf>
    <xf numFmtId="166" fontId="45" fillId="0" borderId="0" xfId="0" applyNumberFormat="1" applyFont="1"/>
    <xf numFmtId="0" fontId="93" fillId="14" borderId="50" xfId="0" applyFont="1" applyFill="1" applyBorder="1" applyAlignment="1">
      <alignment horizontal="left" vertical="center" wrapText="1"/>
    </xf>
    <xf numFmtId="0" fontId="27" fillId="0" borderId="42" xfId="0" applyFont="1" applyBorder="1" applyAlignment="1">
      <alignment horizontal="left"/>
    </xf>
    <xf numFmtId="0" fontId="187" fillId="7" borderId="22" xfId="0" applyFont="1" applyFill="1" applyBorder="1" applyAlignment="1">
      <alignment vertical="center" wrapText="1"/>
    </xf>
    <xf numFmtId="166" fontId="14" fillId="0" borderId="0" xfId="0" applyNumberFormat="1" applyFont="1" applyAlignment="1">
      <alignment horizontal="left" vertical="center" wrapText="1"/>
    </xf>
    <xf numFmtId="166" fontId="18" fillId="0" borderId="0" xfId="0" applyNumberFormat="1" applyFont="1" applyAlignment="1">
      <alignment horizontal="left" wrapText="1"/>
    </xf>
    <xf numFmtId="49" fontId="18" fillId="0" borderId="0" xfId="0" applyNumberFormat="1" applyFont="1" applyAlignment="1">
      <alignment wrapText="1"/>
    </xf>
    <xf numFmtId="0" fontId="22" fillId="0" borderId="0" xfId="0" applyFont="1" applyAlignment="1">
      <alignment vertical="center"/>
    </xf>
    <xf numFmtId="168" fontId="0" fillId="11" borderId="0" xfId="0" applyNumberFormat="1" applyFill="1"/>
    <xf numFmtId="168" fontId="0" fillId="3" borderId="34" xfId="0" applyNumberFormat="1" applyFill="1" applyBorder="1" applyAlignment="1">
      <alignment horizontal="right"/>
    </xf>
    <xf numFmtId="0" fontId="0" fillId="3" borderId="34" xfId="0" applyFill="1" applyBorder="1"/>
    <xf numFmtId="0" fontId="135" fillId="7" borderId="4" xfId="0" applyFont="1" applyFill="1" applyBorder="1" applyAlignment="1" applyProtection="1">
      <alignment horizontal="center" vertical="center" wrapText="1"/>
      <protection locked="0"/>
    </xf>
    <xf numFmtId="0" fontId="82" fillId="0" borderId="32" xfId="0" applyFont="1" applyBorder="1" applyAlignment="1">
      <alignment horizontal="center" vertical="center" wrapText="1"/>
    </xf>
    <xf numFmtId="0" fontId="82" fillId="0" borderId="4" xfId="0" applyFont="1" applyBorder="1" applyAlignment="1">
      <alignment vertical="center" wrapText="1"/>
    </xf>
    <xf numFmtId="0" fontId="25" fillId="0" borderId="32" xfId="0" applyFont="1" applyBorder="1" applyAlignment="1">
      <alignment vertical="center"/>
    </xf>
    <xf numFmtId="0" fontId="25" fillId="0" borderId="32" xfId="0" applyFont="1" applyBorder="1"/>
    <xf numFmtId="0" fontId="25" fillId="0" borderId="32" xfId="0" applyFont="1" applyBorder="1" applyAlignment="1">
      <alignment vertical="top"/>
    </xf>
    <xf numFmtId="0" fontId="18" fillId="0" borderId="32" xfId="0" applyFont="1" applyBorder="1" applyAlignment="1">
      <alignment horizontal="left" vertical="top" wrapText="1"/>
    </xf>
    <xf numFmtId="0" fontId="18" fillId="0" borderId="32" xfId="0" applyFont="1" applyBorder="1" applyAlignment="1">
      <alignment vertical="top" wrapText="1"/>
    </xf>
    <xf numFmtId="0" fontId="18" fillId="0" borderId="32" xfId="0" applyFont="1" applyBorder="1" applyAlignment="1">
      <alignment horizontal="left" wrapText="1"/>
    </xf>
    <xf numFmtId="0" fontId="18" fillId="0" borderId="32" xfId="0" applyFont="1" applyBorder="1" applyAlignment="1">
      <alignment horizontal="right" vertical="center"/>
    </xf>
    <xf numFmtId="0" fontId="120" fillId="0" borderId="32" xfId="0" applyFont="1" applyBorder="1"/>
    <xf numFmtId="0" fontId="17" fillId="2" borderId="76" xfId="0" applyFont="1" applyFill="1" applyBorder="1" applyAlignment="1">
      <alignment vertical="center" wrapText="1"/>
    </xf>
    <xf numFmtId="0" fontId="113" fillId="3" borderId="76" xfId="0" applyFont="1" applyFill="1" applyBorder="1" applyAlignment="1">
      <alignment vertical="center" wrapText="1"/>
    </xf>
    <xf numFmtId="0" fontId="93" fillId="0" borderId="76" xfId="0" applyFont="1" applyBorder="1" applyAlignment="1">
      <alignment vertical="center" wrapText="1"/>
    </xf>
    <xf numFmtId="0" fontId="126" fillId="7" borderId="77" xfId="0" applyFont="1" applyFill="1" applyBorder="1" applyAlignment="1">
      <alignment horizontal="left" wrapText="1"/>
    </xf>
    <xf numFmtId="0" fontId="203" fillId="0" borderId="32" xfId="0" applyFont="1" applyBorder="1" applyAlignment="1">
      <alignment vertical="top" wrapText="1"/>
    </xf>
    <xf numFmtId="0" fontId="113" fillId="3" borderId="70" xfId="0" applyFont="1" applyFill="1" applyBorder="1" applyAlignment="1">
      <alignment vertical="center" wrapText="1"/>
    </xf>
    <xf numFmtId="0" fontId="93" fillId="0" borderId="72" xfId="0" applyFont="1" applyBorder="1" applyAlignment="1">
      <alignment vertical="center" wrapText="1"/>
    </xf>
    <xf numFmtId="0" fontId="126" fillId="7" borderId="77" xfId="0" applyFont="1" applyFill="1" applyBorder="1" applyAlignment="1">
      <alignment horizontal="left" vertical="center" wrapText="1"/>
    </xf>
    <xf numFmtId="0" fontId="126" fillId="7" borderId="77" xfId="0" applyFont="1" applyFill="1" applyBorder="1" applyAlignment="1">
      <alignment wrapText="1"/>
    </xf>
    <xf numFmtId="0" fontId="126" fillId="7" borderId="78" xfId="0" applyFont="1" applyFill="1" applyBorder="1" applyAlignment="1">
      <alignment wrapText="1"/>
    </xf>
    <xf numFmtId="0" fontId="203" fillId="0" borderId="70" xfId="0" applyFont="1" applyBorder="1" applyAlignment="1">
      <alignment vertical="top" wrapText="1"/>
    </xf>
    <xf numFmtId="0" fontId="127" fillId="7" borderId="77" xfId="0" applyFont="1" applyFill="1" applyBorder="1" applyAlignment="1">
      <alignment wrapText="1"/>
    </xf>
    <xf numFmtId="0" fontId="93" fillId="0" borderId="70" xfId="0" applyFont="1" applyBorder="1" applyAlignment="1">
      <alignment vertical="center" wrapText="1"/>
    </xf>
    <xf numFmtId="0" fontId="93" fillId="0" borderId="32" xfId="0" applyFont="1" applyBorder="1" applyAlignment="1">
      <alignment vertical="center" wrapText="1"/>
    </xf>
    <xf numFmtId="0" fontId="18" fillId="3" borderId="70" xfId="0" applyFont="1" applyFill="1" applyBorder="1" applyAlignment="1">
      <alignment vertical="center" wrapText="1"/>
    </xf>
    <xf numFmtId="0" fontId="135" fillId="7" borderId="77" xfId="0" applyFont="1" applyFill="1" applyBorder="1" applyAlignment="1">
      <alignment wrapText="1"/>
    </xf>
    <xf numFmtId="0" fontId="25" fillId="0" borderId="32" xfId="0" applyFont="1" applyBorder="1" applyAlignment="1">
      <alignment horizontal="left" vertical="top" wrapText="1"/>
    </xf>
    <xf numFmtId="0" fontId="136" fillId="0" borderId="32" xfId="0" applyFont="1" applyBorder="1" applyAlignment="1">
      <alignment horizontal="center" vertical="center" wrapText="1"/>
    </xf>
    <xf numFmtId="0" fontId="36" fillId="7" borderId="16" xfId="0" applyFont="1" applyFill="1" applyBorder="1" applyProtection="1">
      <protection locked="0"/>
    </xf>
    <xf numFmtId="0" fontId="36" fillId="7" borderId="29" xfId="0" applyFont="1" applyFill="1" applyBorder="1" applyProtection="1">
      <protection locked="0"/>
    </xf>
    <xf numFmtId="0" fontId="36" fillId="7" borderId="31" xfId="0" applyFont="1" applyFill="1" applyBorder="1" applyAlignment="1" applyProtection="1">
      <alignment horizontal="left" indent="1"/>
      <protection locked="0"/>
    </xf>
    <xf numFmtId="0" fontId="36" fillId="7" borderId="18" xfId="0" applyFont="1" applyFill="1" applyBorder="1" applyProtection="1">
      <protection locked="0"/>
    </xf>
    <xf numFmtId="0" fontId="187" fillId="7" borderId="80" xfId="0" applyFont="1" applyFill="1" applyBorder="1" applyAlignment="1">
      <alignment vertical="center" wrapText="1"/>
    </xf>
    <xf numFmtId="0" fontId="21" fillId="7" borderId="18" xfId="0" applyFont="1" applyFill="1" applyBorder="1" applyAlignment="1">
      <alignment horizontal="left" vertical="top"/>
    </xf>
    <xf numFmtId="49" fontId="42" fillId="15" borderId="11" xfId="0" applyNumberFormat="1" applyFont="1" applyFill="1" applyBorder="1" applyAlignment="1">
      <alignment horizontal="left" vertical="center" wrapText="1"/>
    </xf>
    <xf numFmtId="49" fontId="42" fillId="15" borderId="11" xfId="0" applyNumberFormat="1" applyFont="1" applyFill="1" applyBorder="1" applyAlignment="1" applyProtection="1">
      <alignment horizontal="left" vertical="center" wrapText="1"/>
      <protection locked="0"/>
    </xf>
    <xf numFmtId="49" fontId="42" fillId="15" borderId="27" xfId="0" applyNumberFormat="1" applyFont="1" applyFill="1" applyBorder="1" applyAlignment="1" applyProtection="1">
      <alignment horizontal="left" vertical="center" wrapText="1"/>
      <protection locked="0"/>
    </xf>
    <xf numFmtId="49" fontId="42" fillId="17" borderId="9" xfId="0" applyNumberFormat="1" applyFont="1" applyFill="1" applyBorder="1" applyAlignment="1">
      <alignment horizontal="left" vertical="center"/>
    </xf>
    <xf numFmtId="49" fontId="42" fillId="17" borderId="9" xfId="0" applyNumberFormat="1" applyFont="1" applyFill="1" applyBorder="1" applyAlignment="1">
      <alignment horizontal="left" vertical="center" wrapText="1"/>
    </xf>
    <xf numFmtId="49" fontId="42" fillId="17" borderId="60" xfId="0" applyNumberFormat="1" applyFont="1" applyFill="1" applyBorder="1" applyAlignment="1">
      <alignment horizontal="left" vertical="center" wrapText="1"/>
    </xf>
    <xf numFmtId="49" fontId="42" fillId="17" borderId="60" xfId="0" applyNumberFormat="1" applyFont="1" applyFill="1" applyBorder="1" applyAlignment="1" applyProtection="1">
      <alignment horizontal="left" vertical="center" wrapText="1"/>
      <protection locked="0"/>
    </xf>
    <xf numFmtId="49" fontId="42" fillId="17" borderId="9" xfId="0" applyNumberFormat="1" applyFont="1" applyFill="1" applyBorder="1" applyAlignment="1" applyProtection="1">
      <alignment horizontal="left" vertical="center" wrapText="1"/>
      <protection locked="0"/>
    </xf>
    <xf numFmtId="49" fontId="81" fillId="17" borderId="60" xfId="0" applyNumberFormat="1" applyFont="1" applyFill="1" applyBorder="1" applyAlignment="1" applyProtection="1">
      <alignment horizontal="left" vertical="center" wrapText="1"/>
      <protection locked="0"/>
    </xf>
    <xf numFmtId="49" fontId="81" fillId="15" borderId="11" xfId="0" applyNumberFormat="1" applyFont="1" applyFill="1" applyBorder="1" applyAlignment="1" applyProtection="1">
      <alignment horizontal="left" vertical="center" wrapText="1"/>
      <protection locked="0"/>
    </xf>
    <xf numFmtId="49" fontId="81" fillId="15" borderId="1" xfId="0" applyNumberFormat="1" applyFont="1" applyFill="1" applyBorder="1" applyAlignment="1" applyProtection="1">
      <alignment horizontal="left" vertical="center" wrapText="1"/>
      <protection locked="0"/>
    </xf>
    <xf numFmtId="49" fontId="81" fillId="15" borderId="12" xfId="0" applyNumberFormat="1" applyFont="1" applyFill="1" applyBorder="1" applyAlignment="1" applyProtection="1">
      <alignment horizontal="left" vertical="center" wrapText="1"/>
      <protection locked="0"/>
    </xf>
    <xf numFmtId="0" fontId="18" fillId="0" borderId="26" xfId="0" applyFont="1" applyBorder="1" applyAlignment="1" applyProtection="1">
      <alignment vertical="center" wrapText="1"/>
      <protection locked="0"/>
    </xf>
    <xf numFmtId="0" fontId="25" fillId="0" borderId="27" xfId="0" applyFont="1" applyBorder="1" applyAlignment="1" applyProtection="1">
      <alignment vertical="center" wrapText="1"/>
      <protection locked="0"/>
    </xf>
    <xf numFmtId="0" fontId="25" fillId="0" borderId="27" xfId="0" applyFont="1" applyBorder="1" applyAlignment="1" applyProtection="1">
      <alignment wrapText="1"/>
      <protection locked="0"/>
    </xf>
    <xf numFmtId="49" fontId="42" fillId="17" borderId="9" xfId="0" applyNumberFormat="1" applyFont="1" applyFill="1" applyBorder="1" applyAlignment="1">
      <alignment horizontal="left" wrapText="1"/>
    </xf>
    <xf numFmtId="49" fontId="42" fillId="15" borderId="27" xfId="0" applyNumberFormat="1" applyFont="1" applyFill="1" applyBorder="1" applyAlignment="1">
      <alignment horizontal="left" wrapText="1"/>
    </xf>
    <xf numFmtId="49" fontId="42" fillId="15" borderId="35" xfId="0" applyNumberFormat="1" applyFont="1" applyFill="1" applyBorder="1" applyAlignment="1">
      <alignment horizontal="left" wrapText="1"/>
    </xf>
    <xf numFmtId="49" fontId="42" fillId="17" borderId="9" xfId="0" applyNumberFormat="1" applyFont="1" applyFill="1" applyBorder="1" applyAlignment="1">
      <alignment horizontal="left" vertical="top" wrapText="1"/>
    </xf>
    <xf numFmtId="49" fontId="42" fillId="15" borderId="27" xfId="0" applyNumberFormat="1" applyFont="1" applyFill="1" applyBorder="1" applyAlignment="1">
      <alignment horizontal="left" vertical="top" wrapText="1"/>
    </xf>
    <xf numFmtId="49" fontId="42" fillId="15" borderId="35" xfId="0" applyNumberFormat="1" applyFont="1" applyFill="1" applyBorder="1" applyAlignment="1">
      <alignment horizontal="left" vertical="top" wrapText="1"/>
    </xf>
    <xf numFmtId="49" fontId="42" fillId="15" borderId="10" xfId="0" applyNumberFormat="1" applyFont="1" applyFill="1" applyBorder="1" applyAlignment="1">
      <alignment horizontal="left" vertical="center" wrapText="1"/>
    </xf>
    <xf numFmtId="49" fontId="42" fillId="15" borderId="10" xfId="0" applyNumberFormat="1" applyFont="1" applyFill="1" applyBorder="1" applyAlignment="1">
      <alignment horizontal="left" wrapText="1"/>
    </xf>
    <xf numFmtId="49" fontId="42" fillId="17" borderId="9" xfId="0" applyNumberFormat="1" applyFont="1" applyFill="1" applyBorder="1" applyAlignment="1" applyProtection="1">
      <alignment vertical="top" wrapText="1"/>
      <protection locked="0"/>
    </xf>
    <xf numFmtId="49" fontId="42" fillId="15" borderId="27" xfId="0" applyNumberFormat="1" applyFont="1" applyFill="1" applyBorder="1" applyAlignment="1" applyProtection="1">
      <alignment vertical="top" wrapText="1"/>
      <protection locked="0"/>
    </xf>
    <xf numFmtId="49" fontId="42" fillId="15" borderId="50" xfId="0" applyNumberFormat="1" applyFont="1" applyFill="1" applyBorder="1" applyAlignment="1" applyProtection="1">
      <alignment vertical="top" wrapText="1"/>
      <protection locked="0"/>
    </xf>
    <xf numFmtId="49" fontId="42" fillId="15" borderId="35" xfId="0" applyNumberFormat="1" applyFont="1" applyFill="1" applyBorder="1" applyAlignment="1" applyProtection="1">
      <alignment vertical="top" wrapText="1"/>
      <protection locked="0"/>
    </xf>
    <xf numFmtId="49" fontId="42" fillId="17" borderId="61" xfId="0" applyNumberFormat="1" applyFont="1" applyFill="1" applyBorder="1" applyAlignment="1" applyProtection="1">
      <alignment vertical="top" wrapText="1"/>
      <protection locked="0"/>
    </xf>
    <xf numFmtId="49" fontId="42" fillId="15" borderId="24" xfId="0" applyNumberFormat="1" applyFont="1" applyFill="1" applyBorder="1" applyAlignment="1" applyProtection="1">
      <alignment vertical="top" wrapText="1"/>
      <protection locked="0"/>
    </xf>
    <xf numFmtId="49" fontId="42" fillId="15" borderId="2" xfId="0" applyNumberFormat="1" applyFont="1" applyFill="1" applyBorder="1" applyAlignment="1" applyProtection="1">
      <alignment vertical="top" wrapText="1"/>
      <protection locked="0"/>
    </xf>
    <xf numFmtId="49" fontId="42" fillId="15" borderId="58" xfId="0" applyNumberFormat="1" applyFont="1" applyFill="1" applyBorder="1" applyAlignment="1" applyProtection="1">
      <alignment vertical="top" wrapText="1"/>
      <protection locked="0"/>
    </xf>
    <xf numFmtId="49" fontId="27" fillId="17" borderId="9" xfId="0" applyNumberFormat="1" applyFont="1" applyFill="1" applyBorder="1" applyAlignment="1" applyProtection="1">
      <alignment vertical="top" wrapText="1"/>
      <protection locked="0"/>
    </xf>
    <xf numFmtId="49" fontId="27" fillId="15" borderId="27" xfId="0" applyNumberFormat="1" applyFont="1" applyFill="1" applyBorder="1" applyAlignment="1" applyProtection="1">
      <alignment vertical="top" wrapText="1"/>
      <protection locked="0"/>
    </xf>
    <xf numFmtId="49" fontId="27" fillId="15" borderId="50" xfId="0" applyNumberFormat="1" applyFont="1" applyFill="1" applyBorder="1" applyAlignment="1" applyProtection="1">
      <alignment vertical="top" wrapText="1"/>
      <protection locked="0"/>
    </xf>
    <xf numFmtId="49" fontId="27" fillId="15" borderId="35" xfId="0" applyNumberFormat="1" applyFont="1" applyFill="1" applyBorder="1" applyAlignment="1" applyProtection="1">
      <alignment vertical="top" wrapText="1"/>
      <protection locked="0"/>
    </xf>
    <xf numFmtId="49" fontId="42" fillId="17" borderId="9" xfId="0" applyNumberFormat="1" applyFont="1" applyFill="1" applyBorder="1" applyAlignment="1">
      <alignment vertical="top" wrapText="1"/>
    </xf>
    <xf numFmtId="49" fontId="42" fillId="15" borderId="27" xfId="0" applyNumberFormat="1" applyFont="1" applyFill="1" applyBorder="1" applyAlignment="1">
      <alignment vertical="top" wrapText="1"/>
    </xf>
    <xf numFmtId="49" fontId="42" fillId="15" borderId="50" xfId="0" applyNumberFormat="1" applyFont="1" applyFill="1" applyBorder="1" applyAlignment="1">
      <alignment vertical="top" wrapText="1"/>
    </xf>
    <xf numFmtId="49" fontId="42" fillId="15" borderId="35" xfId="0" applyNumberFormat="1" applyFont="1" applyFill="1" applyBorder="1" applyAlignment="1">
      <alignment vertical="top" wrapText="1"/>
    </xf>
    <xf numFmtId="0" fontId="142" fillId="12" borderId="18" xfId="0" applyFont="1" applyFill="1" applyBorder="1" applyAlignment="1">
      <alignment horizontal="center"/>
    </xf>
    <xf numFmtId="0" fontId="183" fillId="11" borderId="42" xfId="0" applyFont="1" applyFill="1" applyBorder="1" applyAlignment="1">
      <alignment horizontal="right" vertical="center"/>
    </xf>
    <xf numFmtId="171" fontId="75" fillId="11" borderId="0" xfId="0" applyNumberFormat="1" applyFont="1" applyFill="1" applyAlignment="1">
      <alignment horizontal="right" vertical="center"/>
    </xf>
    <xf numFmtId="171" fontId="0" fillId="11" borderId="27" xfId="0" applyNumberFormat="1" applyFill="1" applyBorder="1" applyAlignment="1">
      <alignment horizontal="right" vertical="center"/>
    </xf>
    <xf numFmtId="1" fontId="171" fillId="15" borderId="0" xfId="0" applyNumberFormat="1" applyFont="1" applyFill="1" applyAlignment="1">
      <alignment horizontal="center" wrapText="1"/>
    </xf>
    <xf numFmtId="0" fontId="81" fillId="17" borderId="4" xfId="0" applyFont="1" applyFill="1" applyBorder="1" applyAlignment="1">
      <alignment horizontal="left" vertical="center"/>
    </xf>
    <xf numFmtId="49" fontId="42" fillId="17" borderId="32" xfId="0" applyNumberFormat="1" applyFont="1" applyFill="1" applyBorder="1" applyAlignment="1">
      <alignment horizontal="left" vertical="center"/>
    </xf>
    <xf numFmtId="0" fontId="81" fillId="15" borderId="65" xfId="0" applyFont="1" applyFill="1" applyBorder="1" applyAlignment="1">
      <alignment horizontal="left" vertical="center"/>
    </xf>
    <xf numFmtId="0" fontId="81" fillId="15" borderId="66" xfId="0" applyFont="1" applyFill="1" applyBorder="1" applyAlignment="1">
      <alignment horizontal="left" vertical="center"/>
    </xf>
    <xf numFmtId="49" fontId="22" fillId="15" borderId="53" xfId="0" applyNumberFormat="1" applyFont="1" applyFill="1" applyBorder="1" applyAlignment="1" applyProtection="1">
      <alignment horizontal="center" vertical="top" wrapText="1"/>
      <protection locked="0"/>
    </xf>
    <xf numFmtId="49" fontId="22" fillId="15" borderId="54" xfId="0" applyNumberFormat="1" applyFont="1" applyFill="1" applyBorder="1" applyAlignment="1" applyProtection="1">
      <alignment horizontal="center" vertical="top" wrapText="1"/>
      <protection locked="0"/>
    </xf>
    <xf numFmtId="49" fontId="22" fillId="15" borderId="55" xfId="0" applyNumberFormat="1" applyFont="1" applyFill="1" applyBorder="1" applyAlignment="1" applyProtection="1">
      <alignment horizontal="center" vertical="top" wrapText="1"/>
      <protection locked="0"/>
    </xf>
    <xf numFmtId="49" fontId="42" fillId="15" borderId="34" xfId="0" applyNumberFormat="1" applyFont="1" applyFill="1" applyBorder="1" applyAlignment="1">
      <alignment horizontal="left" vertical="center"/>
    </xf>
    <xf numFmtId="49" fontId="42" fillId="15" borderId="50" xfId="0" applyNumberFormat="1" applyFont="1" applyFill="1" applyBorder="1" applyAlignment="1">
      <alignment horizontal="left" vertical="center"/>
    </xf>
    <xf numFmtId="49" fontId="22" fillId="17" borderId="19" xfId="0" applyNumberFormat="1" applyFont="1" applyFill="1" applyBorder="1" applyAlignment="1" applyProtection="1">
      <alignment horizontal="center" vertical="top" wrapText="1"/>
      <protection locked="0"/>
    </xf>
    <xf numFmtId="0" fontId="90" fillId="0" borderId="50" xfId="0" applyFont="1" applyBorder="1" applyAlignment="1">
      <alignment wrapText="1"/>
    </xf>
    <xf numFmtId="0" fontId="90" fillId="0" borderId="34" xfId="0" applyFont="1" applyBorder="1" applyAlignment="1">
      <alignment wrapText="1"/>
    </xf>
    <xf numFmtId="0" fontId="90" fillId="0" borderId="50" xfId="0" applyFont="1" applyBorder="1"/>
    <xf numFmtId="0" fontId="90" fillId="0" borderId="34" xfId="0" applyFont="1" applyBorder="1" applyAlignment="1">
      <alignment horizontal="justify" wrapText="1"/>
    </xf>
    <xf numFmtId="0" fontId="94" fillId="0" borderId="34" xfId="0" applyFont="1" applyBorder="1" applyAlignment="1">
      <alignment wrapText="1"/>
    </xf>
    <xf numFmtId="0" fontId="208" fillId="0" borderId="0" xfId="258" applyFont="1" applyProtection="1"/>
    <xf numFmtId="0" fontId="207" fillId="0" borderId="0" xfId="0" applyFont="1" applyAlignment="1">
      <alignment horizontal="center" vertical="top" wrapText="1"/>
    </xf>
    <xf numFmtId="0" fontId="152" fillId="0" borderId="0" xfId="0" applyFont="1" applyAlignment="1">
      <alignment horizontal="left"/>
    </xf>
    <xf numFmtId="0" fontId="131" fillId="0" borderId="0" xfId="0" applyFont="1" applyAlignment="1">
      <alignment horizontal="left"/>
    </xf>
    <xf numFmtId="0" fontId="207" fillId="0" borderId="0" xfId="258" applyFont="1" applyAlignment="1" applyProtection="1">
      <alignment horizontal="center" vertical="top" wrapText="1"/>
    </xf>
    <xf numFmtId="0" fontId="131" fillId="0" borderId="18" xfId="0" applyFont="1" applyBorder="1" applyAlignment="1">
      <alignment horizontal="left"/>
    </xf>
    <xf numFmtId="0" fontId="0" fillId="0" borderId="18" xfId="0" applyBorder="1"/>
    <xf numFmtId="0" fontId="0" fillId="19" borderId="18" xfId="0" applyFill="1" applyBorder="1"/>
    <xf numFmtId="0" fontId="90" fillId="13" borderId="65" xfId="0" applyFont="1" applyFill="1" applyBorder="1" applyAlignment="1">
      <alignment vertical="top" wrapText="1"/>
    </xf>
    <xf numFmtId="0" fontId="90" fillId="14" borderId="66" xfId="0" applyFont="1" applyFill="1" applyBorder="1" applyAlignment="1">
      <alignment vertical="top" wrapText="1"/>
    </xf>
    <xf numFmtId="0" fontId="102" fillId="3" borderId="51" xfId="0" applyFont="1" applyFill="1" applyBorder="1" applyAlignment="1">
      <alignment horizontal="left" wrapText="1"/>
    </xf>
    <xf numFmtId="0" fontId="90" fillId="3" borderId="65" xfId="0" applyFont="1" applyFill="1" applyBorder="1" applyAlignment="1">
      <alignment wrapText="1"/>
    </xf>
    <xf numFmtId="0" fontId="90" fillId="3" borderId="66" xfId="0" applyFont="1" applyFill="1" applyBorder="1"/>
    <xf numFmtId="0" fontId="131" fillId="0" borderId="0" xfId="0" applyFont="1" applyAlignment="1">
      <alignment horizontal="right"/>
    </xf>
    <xf numFmtId="0" fontId="131" fillId="0" borderId="18" xfId="0" applyFont="1" applyBorder="1" applyAlignment="1">
      <alignment horizontal="right"/>
    </xf>
    <xf numFmtId="0" fontId="152" fillId="0" borderId="0" xfId="0" applyFont="1" applyAlignment="1">
      <alignment horizontal="right"/>
    </xf>
    <xf numFmtId="0" fontId="131" fillId="0" borderId="0" xfId="0" applyFont="1" applyAlignment="1">
      <alignment horizontal="center"/>
    </xf>
    <xf numFmtId="0" fontId="75" fillId="0" borderId="18" xfId="0" applyFont="1" applyBorder="1" applyAlignment="1">
      <alignment horizontal="center"/>
    </xf>
    <xf numFmtId="0" fontId="94" fillId="0" borderId="65" xfId="0" applyFont="1" applyBorder="1" applyAlignment="1">
      <alignment wrapText="1"/>
    </xf>
    <xf numFmtId="0" fontId="90" fillId="0" borderId="66" xfId="0" applyFont="1" applyBorder="1" applyAlignment="1">
      <alignment wrapText="1"/>
    </xf>
    <xf numFmtId="0" fontId="0" fillId="0" borderId="16" xfId="0" applyBorder="1"/>
    <xf numFmtId="0" fontId="0" fillId="19" borderId="16" xfId="0" applyFill="1" applyBorder="1"/>
    <xf numFmtId="0" fontId="131" fillId="0" borderId="16" xfId="0" applyFont="1" applyBorder="1" applyAlignment="1">
      <alignment horizontal="left"/>
    </xf>
    <xf numFmtId="0" fontId="131" fillId="0" borderId="16" xfId="0" applyFont="1" applyBorder="1" applyAlignment="1">
      <alignment horizontal="right"/>
    </xf>
    <xf numFmtId="0" fontId="90" fillId="3" borderId="63" xfId="0" applyFont="1" applyFill="1" applyBorder="1" applyAlignment="1">
      <alignment vertical="top" wrapText="1"/>
    </xf>
    <xf numFmtId="0" fontId="90" fillId="3" borderId="59" xfId="0" applyFont="1" applyFill="1" applyBorder="1" applyAlignment="1">
      <alignment vertical="top" wrapText="1"/>
    </xf>
    <xf numFmtId="0" fontId="131" fillId="0" borderId="16" xfId="0" applyFont="1" applyBorder="1" applyAlignment="1">
      <alignment horizontal="center"/>
    </xf>
    <xf numFmtId="0" fontId="131" fillId="0" borderId="18" xfId="0" applyFont="1" applyBorder="1" applyAlignment="1">
      <alignment horizontal="center"/>
    </xf>
    <xf numFmtId="0" fontId="90" fillId="3" borderId="65" xfId="0" applyFont="1" applyFill="1" applyBorder="1" applyAlignment="1">
      <alignment vertical="top" wrapText="1"/>
    </xf>
    <xf numFmtId="0" fontId="90" fillId="3" borderId="66" xfId="0" applyFont="1" applyFill="1" applyBorder="1" applyAlignment="1">
      <alignment vertical="top" wrapText="1"/>
    </xf>
    <xf numFmtId="0" fontId="90" fillId="0" borderId="65" xfId="0" applyFont="1" applyBorder="1" applyAlignment="1">
      <alignment wrapText="1"/>
    </xf>
    <xf numFmtId="0" fontId="90" fillId="0" borderId="66" xfId="0" applyFont="1" applyBorder="1"/>
    <xf numFmtId="20" fontId="21" fillId="0" borderId="0" xfId="0" applyNumberFormat="1" applyFont="1" applyAlignment="1">
      <alignment horizontal="center" vertical="center"/>
    </xf>
    <xf numFmtId="166" fontId="14" fillId="0" borderId="0" xfId="0" applyNumberFormat="1" applyFont="1" applyAlignment="1">
      <alignment horizontal="center" vertical="center"/>
    </xf>
    <xf numFmtId="0" fontId="26" fillId="0" borderId="0" xfId="0" applyFont="1" applyAlignment="1">
      <alignment horizontal="center" vertical="center"/>
    </xf>
    <xf numFmtId="167" fontId="14" fillId="0" borderId="0" xfId="9" applyNumberFormat="1" applyFont="1" applyFill="1" applyBorder="1" applyAlignment="1" applyProtection="1">
      <alignment vertical="center" wrapText="1"/>
    </xf>
    <xf numFmtId="20" fontId="21" fillId="0" borderId="76" xfId="0" applyNumberFormat="1" applyFont="1" applyBorder="1" applyAlignment="1">
      <alignment horizontal="center" vertical="center"/>
    </xf>
    <xf numFmtId="166" fontId="14" fillId="0" borderId="13" xfId="0" applyNumberFormat="1" applyFont="1" applyBorder="1" applyAlignment="1">
      <alignment vertical="center" wrapText="1"/>
    </xf>
    <xf numFmtId="166" fontId="14" fillId="0" borderId="13" xfId="0" applyNumberFormat="1" applyFont="1" applyBorder="1" applyAlignment="1">
      <alignment vertical="center"/>
    </xf>
    <xf numFmtId="0" fontId="21" fillId="0" borderId="13" xfId="0" applyFont="1" applyBorder="1" applyAlignment="1">
      <alignment vertical="center"/>
    </xf>
    <xf numFmtId="166" fontId="14" fillId="0" borderId="13" xfId="0" applyNumberFormat="1" applyFont="1" applyBorder="1" applyAlignment="1">
      <alignment horizontal="center" vertical="center"/>
    </xf>
    <xf numFmtId="20" fontId="21" fillId="0" borderId="81" xfId="0" applyNumberFormat="1" applyFont="1" applyBorder="1" applyAlignment="1">
      <alignment horizontal="center" vertical="center"/>
    </xf>
    <xf numFmtId="166" fontId="14" fillId="0" borderId="33" xfId="0" applyNumberFormat="1" applyFont="1" applyBorder="1" applyAlignment="1">
      <alignment vertical="center" wrapText="1"/>
    </xf>
    <xf numFmtId="166" fontId="14" fillId="0" borderId="33" xfId="0" applyNumberFormat="1" applyFont="1" applyBorder="1" applyAlignment="1">
      <alignment vertical="center"/>
    </xf>
    <xf numFmtId="166" fontId="14" fillId="0" borderId="33" xfId="0" applyNumberFormat="1" applyFont="1" applyBorder="1" applyAlignment="1">
      <alignment horizontal="center" vertical="center"/>
    </xf>
    <xf numFmtId="0" fontId="26" fillId="0" borderId="33" xfId="0" applyFont="1" applyBorder="1" applyAlignment="1">
      <alignment horizontal="center" vertical="center"/>
    </xf>
    <xf numFmtId="0" fontId="26" fillId="0" borderId="82" xfId="0" applyFont="1" applyBorder="1" applyAlignment="1">
      <alignment horizontal="center" vertical="center"/>
    </xf>
    <xf numFmtId="20" fontId="21" fillId="0" borderId="70" xfId="0" applyNumberFormat="1" applyFont="1" applyBorder="1" applyAlignment="1">
      <alignment horizontal="center" vertical="center"/>
    </xf>
    <xf numFmtId="166" fontId="14" fillId="0" borderId="31" xfId="0" applyNumberFormat="1" applyFont="1" applyBorder="1" applyAlignment="1">
      <alignment vertical="center" wrapText="1"/>
    </xf>
    <xf numFmtId="166" fontId="14" fillId="0" borderId="31" xfId="0" applyNumberFormat="1" applyFont="1" applyBorder="1" applyAlignment="1">
      <alignment vertical="center"/>
    </xf>
    <xf numFmtId="0" fontId="21" fillId="0" borderId="31" xfId="0" applyFont="1" applyBorder="1" applyAlignment="1">
      <alignment vertical="center"/>
    </xf>
    <xf numFmtId="166" fontId="14" fillId="0" borderId="31" xfId="0" applyNumberFormat="1" applyFont="1" applyBorder="1" applyAlignment="1">
      <alignment horizontal="center" vertical="center"/>
    </xf>
    <xf numFmtId="0" fontId="22" fillId="0" borderId="4" xfId="0" applyFont="1" applyBorder="1" applyAlignment="1">
      <alignment horizontal="center" vertical="top" wrapText="1"/>
    </xf>
    <xf numFmtId="0" fontId="22" fillId="0" borderId="18" xfId="0" applyFont="1" applyBorder="1" applyAlignment="1">
      <alignment horizontal="center" vertical="top" wrapText="1"/>
    </xf>
    <xf numFmtId="0" fontId="22" fillId="0" borderId="18" xfId="0" applyFont="1" applyBorder="1" applyAlignment="1">
      <alignment vertical="top" wrapText="1"/>
    </xf>
    <xf numFmtId="0" fontId="21" fillId="0" borderId="18" xfId="0" applyFont="1" applyBorder="1" applyAlignment="1">
      <alignment vertical="center"/>
    </xf>
    <xf numFmtId="0" fontId="81" fillId="0" borderId="18" xfId="0" applyFont="1" applyBorder="1" applyAlignment="1">
      <alignment horizontal="center" vertical="top" wrapText="1"/>
    </xf>
    <xf numFmtId="0" fontId="22" fillId="0" borderId="3" xfId="0" applyFont="1" applyBorder="1" applyAlignment="1">
      <alignment horizontal="center" vertical="top" wrapText="1"/>
    </xf>
    <xf numFmtId="0" fontId="19" fillId="0" borderId="0" xfId="0" applyFont="1" applyAlignment="1">
      <alignment horizontal="right" vertical="center" wrapText="1"/>
    </xf>
    <xf numFmtId="20" fontId="19" fillId="0" borderId="0" xfId="0" applyNumberFormat="1" applyFont="1" applyAlignment="1">
      <alignment horizontal="left" vertical="center" wrapText="1"/>
    </xf>
    <xf numFmtId="20" fontId="18" fillId="0" borderId="0" xfId="0" applyNumberFormat="1" applyFont="1" applyAlignment="1">
      <alignment horizontal="left" vertical="center" wrapText="1"/>
    </xf>
    <xf numFmtId="0" fontId="21" fillId="0" borderId="15" xfId="0" applyFont="1" applyBorder="1" applyAlignment="1">
      <alignment vertical="center" wrapText="1"/>
    </xf>
    <xf numFmtId="0" fontId="22" fillId="0" borderId="16" xfId="0" applyFont="1" applyBorder="1" applyAlignment="1">
      <alignment vertical="center" wrapText="1"/>
    </xf>
    <xf numFmtId="0" fontId="45" fillId="0" borderId="0" xfId="0" applyFont="1" applyAlignment="1">
      <alignment horizontal="center" vertical="center"/>
    </xf>
    <xf numFmtId="0" fontId="41" fillId="0" borderId="0" xfId="0" applyFont="1" applyAlignment="1">
      <alignment horizontal="right" vertical="center" wrapText="1"/>
    </xf>
    <xf numFmtId="0" fontId="8" fillId="13" borderId="27" xfId="0" applyFont="1" applyFill="1" applyBorder="1" applyAlignment="1">
      <alignment vertical="center" wrapText="1"/>
    </xf>
    <xf numFmtId="0" fontId="21" fillId="14" borderId="50" xfId="0" applyFont="1" applyFill="1" applyBorder="1" applyAlignment="1">
      <alignment vertical="center" wrapText="1"/>
    </xf>
    <xf numFmtId="20" fontId="41" fillId="0" borderId="0" xfId="0" applyNumberFormat="1" applyFont="1" applyAlignment="1">
      <alignment horizontal="left" vertical="center" wrapText="1"/>
    </xf>
    <xf numFmtId="0" fontId="18" fillId="0" borderId="16" xfId="0" applyFont="1" applyBorder="1" applyAlignment="1">
      <alignment horizontal="center" vertical="center" wrapText="1"/>
    </xf>
    <xf numFmtId="20" fontId="14" fillId="0" borderId="0" xfId="0" applyNumberFormat="1" applyFont="1" applyAlignment="1">
      <alignment horizontal="left" vertical="center"/>
    </xf>
    <xf numFmtId="0" fontId="19" fillId="0" borderId="31" xfId="0" applyFont="1" applyBorder="1" applyAlignment="1">
      <alignment horizontal="center" vertical="center"/>
    </xf>
    <xf numFmtId="0" fontId="19" fillId="0" borderId="71"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166" fontId="210" fillId="12" borderId="18" xfId="0" applyNumberFormat="1" applyFont="1" applyFill="1" applyBorder="1" applyAlignment="1">
      <alignment vertical="center"/>
    </xf>
    <xf numFmtId="166" fontId="148" fillId="12" borderId="0" xfId="0" applyNumberFormat="1" applyFont="1" applyFill="1" applyAlignment="1">
      <alignment vertical="center"/>
    </xf>
    <xf numFmtId="0" fontId="213" fillId="0" borderId="0" xfId="0" applyFont="1" applyAlignment="1">
      <alignment horizontal="left" wrapText="1"/>
    </xf>
    <xf numFmtId="0" fontId="196" fillId="0" borderId="41" xfId="0" applyFont="1" applyBorder="1" applyAlignment="1">
      <alignment horizontal="right" vertical="center"/>
    </xf>
    <xf numFmtId="166" fontId="7" fillId="0" borderId="40" xfId="0" applyNumberFormat="1" applyFont="1" applyBorder="1" applyAlignment="1">
      <alignment horizontal="center" vertical="center"/>
    </xf>
    <xf numFmtId="166" fontId="7" fillId="0" borderId="41" xfId="0" applyNumberFormat="1" applyFont="1" applyBorder="1" applyAlignment="1">
      <alignment horizontal="center" vertical="center"/>
    </xf>
    <xf numFmtId="166" fontId="214" fillId="18" borderId="0" xfId="0" applyNumberFormat="1" applyFont="1" applyFill="1" applyAlignment="1">
      <alignment horizontal="left" vertical="center" wrapText="1"/>
    </xf>
    <xf numFmtId="1" fontId="21" fillId="0" borderId="22" xfId="0" applyNumberFormat="1" applyFont="1" applyBorder="1" applyAlignment="1">
      <alignment horizontal="center" vertical="center"/>
    </xf>
    <xf numFmtId="1" fontId="14" fillId="7" borderId="71" xfId="9" applyNumberFormat="1" applyFont="1" applyFill="1" applyBorder="1" applyAlignment="1" applyProtection="1">
      <alignment horizontal="center" vertical="center"/>
      <protection locked="0"/>
    </xf>
    <xf numFmtId="1" fontId="21" fillId="0" borderId="36" xfId="0" applyNumberFormat="1" applyFont="1" applyBorder="1" applyAlignment="1">
      <alignment horizontal="center" vertical="center"/>
    </xf>
    <xf numFmtId="1" fontId="14" fillId="7" borderId="14" xfId="9" applyNumberFormat="1" applyFont="1" applyFill="1" applyBorder="1" applyAlignment="1" applyProtection="1">
      <alignment horizontal="center" vertical="center"/>
      <protection locked="0"/>
    </xf>
    <xf numFmtId="1" fontId="21" fillId="0" borderId="37" xfId="0" applyNumberFormat="1" applyFont="1" applyBorder="1" applyAlignment="1">
      <alignment horizontal="center" vertical="center"/>
    </xf>
    <xf numFmtId="1" fontId="14" fillId="7" borderId="83" xfId="9" applyNumberFormat="1" applyFont="1" applyFill="1" applyBorder="1" applyAlignment="1" applyProtection="1">
      <alignment horizontal="center" vertical="center"/>
      <protection locked="0"/>
    </xf>
    <xf numFmtId="165" fontId="21" fillId="0" borderId="0" xfId="9" applyFont="1" applyAlignment="1" applyProtection="1">
      <alignment horizontal="center" vertical="center"/>
    </xf>
    <xf numFmtId="20" fontId="142" fillId="0" borderId="53" xfId="0" applyNumberFormat="1" applyFont="1" applyBorder="1" applyAlignment="1">
      <alignment horizontal="center"/>
    </xf>
    <xf numFmtId="20" fontId="142" fillId="0" borderId="21" xfId="0" applyNumberFormat="1" applyFont="1" applyBorder="1" applyAlignment="1">
      <alignment horizontal="center"/>
    </xf>
    <xf numFmtId="49" fontId="75" fillId="12" borderId="0" xfId="0" applyNumberFormat="1" applyFont="1" applyFill="1" applyAlignment="1">
      <alignment horizontal="center" vertical="top"/>
    </xf>
    <xf numFmtId="0" fontId="75" fillId="12" borderId="0" xfId="0" applyFont="1" applyFill="1" applyAlignment="1">
      <alignment horizontal="center" vertical="top"/>
    </xf>
    <xf numFmtId="0" fontId="0" fillId="12" borderId="0" xfId="0" applyFill="1" applyAlignment="1">
      <alignment vertical="top" wrapText="1"/>
    </xf>
    <xf numFmtId="0" fontId="152" fillId="12" borderId="0" xfId="0" applyFont="1" applyFill="1" applyAlignment="1">
      <alignment horizontal="left" vertical="top" wrapText="1"/>
    </xf>
    <xf numFmtId="0" fontId="0" fillId="12" borderId="0" xfId="0" applyFill="1" applyAlignment="1">
      <alignment horizontal="left" vertical="top"/>
    </xf>
    <xf numFmtId="0" fontId="123" fillId="12" borderId="0" xfId="0" applyFont="1" applyFill="1" applyAlignment="1">
      <alignment horizontal="center" vertical="top"/>
    </xf>
    <xf numFmtId="0" fontId="150" fillId="12" borderId="0" xfId="0" applyFont="1" applyFill="1" applyAlignment="1">
      <alignment horizontal="left" vertical="top" wrapText="1"/>
    </xf>
    <xf numFmtId="0" fontId="111" fillId="12" borderId="0" xfId="0" applyFont="1" applyFill="1" applyAlignment="1">
      <alignment vertical="top"/>
    </xf>
    <xf numFmtId="0" fontId="116" fillId="12" borderId="0" xfId="0" applyFont="1" applyFill="1" applyAlignment="1">
      <alignment vertical="top"/>
    </xf>
    <xf numFmtId="0" fontId="0" fillId="12" borderId="0" xfId="0" applyFill="1" applyAlignment="1">
      <alignment horizontal="left" vertical="top" wrapText="1"/>
    </xf>
    <xf numFmtId="0" fontId="183" fillId="12" borderId="0" xfId="0" applyFont="1" applyFill="1" applyAlignment="1">
      <alignment horizontal="left" vertical="top" wrapText="1"/>
    </xf>
    <xf numFmtId="0" fontId="90" fillId="0" borderId="65" xfId="0" applyFont="1" applyBorder="1"/>
    <xf numFmtId="0" fontId="111" fillId="3" borderId="51" xfId="0" applyFont="1" applyFill="1" applyBorder="1" applyAlignment="1">
      <alignment wrapText="1"/>
    </xf>
    <xf numFmtId="0" fontId="90" fillId="13" borderId="65" xfId="0" applyFont="1" applyFill="1" applyBorder="1" applyAlignment="1">
      <alignment wrapText="1"/>
    </xf>
    <xf numFmtId="0" fontId="90" fillId="14" borderId="66" xfId="0" applyFont="1" applyFill="1" applyBorder="1" applyAlignment="1">
      <alignment wrapText="1"/>
    </xf>
    <xf numFmtId="0" fontId="90" fillId="13" borderId="65" xfId="0" applyFont="1" applyFill="1" applyBorder="1" applyAlignment="1">
      <alignment horizontal="justify" wrapText="1"/>
    </xf>
    <xf numFmtId="0" fontId="90" fillId="14" borderId="66" xfId="0" applyFont="1" applyFill="1" applyBorder="1" applyAlignment="1">
      <alignment horizontal="justify" wrapText="1"/>
    </xf>
    <xf numFmtId="0" fontId="131" fillId="0" borderId="18" xfId="0" applyFont="1" applyBorder="1" applyAlignment="1">
      <alignment vertical="top" wrapText="1"/>
    </xf>
    <xf numFmtId="0" fontId="0" fillId="0" borderId="18" xfId="0" applyBorder="1" applyAlignment="1">
      <alignment vertical="top" wrapText="1"/>
    </xf>
    <xf numFmtId="0" fontId="131" fillId="0" borderId="18" xfId="0" applyFont="1" applyBorder="1" applyAlignment="1">
      <alignment horizontal="left" vertical="top" wrapText="1"/>
    </xf>
    <xf numFmtId="0" fontId="131" fillId="0" borderId="18" xfId="0" applyFont="1" applyBorder="1" applyAlignment="1">
      <alignment horizontal="right" vertical="top" wrapText="1"/>
    </xf>
    <xf numFmtId="0" fontId="131" fillId="0" borderId="18" xfId="0" applyFont="1" applyBorder="1" applyAlignment="1">
      <alignment horizontal="center" vertical="top" wrapText="1"/>
    </xf>
    <xf numFmtId="0" fontId="0" fillId="19" borderId="18" xfId="0" applyFill="1" applyBorder="1" applyAlignment="1">
      <alignment vertical="top" wrapText="1"/>
    </xf>
    <xf numFmtId="0" fontId="131" fillId="0" borderId="0" xfId="0" applyFont="1" applyAlignment="1">
      <alignment wrapText="1"/>
    </xf>
    <xf numFmtId="0" fontId="131" fillId="0" borderId="84" xfId="0" applyFont="1" applyBorder="1" applyAlignment="1">
      <alignment wrapText="1"/>
    </xf>
    <xf numFmtId="0" fontId="0" fillId="0" borderId="84" xfId="0" applyBorder="1" applyAlignment="1">
      <alignment wrapText="1"/>
    </xf>
    <xf numFmtId="0" fontId="152" fillId="0" borderId="84" xfId="0" applyFont="1" applyBorder="1" applyAlignment="1">
      <alignment horizontal="left"/>
    </xf>
    <xf numFmtId="0" fontId="152" fillId="0" borderId="84" xfId="0" applyFont="1" applyBorder="1" applyAlignment="1">
      <alignment horizontal="right"/>
    </xf>
    <xf numFmtId="0" fontId="0" fillId="0" borderId="84" xfId="0" applyBorder="1" applyAlignment="1">
      <alignment horizontal="center"/>
    </xf>
    <xf numFmtId="0" fontId="0" fillId="0" borderId="84" xfId="0" applyBorder="1"/>
    <xf numFmtId="0" fontId="0" fillId="19" borderId="84" xfId="0" applyFill="1" applyBorder="1"/>
    <xf numFmtId="0" fontId="90" fillId="13" borderId="85" xfId="0" applyFont="1" applyFill="1" applyBorder="1" applyAlignment="1">
      <alignment horizontal="justify" wrapText="1"/>
    </xf>
    <xf numFmtId="0" fontId="90" fillId="14" borderId="86" xfId="0" applyFont="1" applyFill="1" applyBorder="1" applyAlignment="1">
      <alignment horizontal="justify" wrapText="1"/>
    </xf>
    <xf numFmtId="0" fontId="102" fillId="3" borderId="87" xfId="0" applyFont="1" applyFill="1" applyBorder="1" applyAlignment="1">
      <alignment horizontal="left" wrapText="1"/>
    </xf>
    <xf numFmtId="3" fontId="0" fillId="0" borderId="0" xfId="0" applyNumberFormat="1" applyAlignment="1">
      <alignment horizontal="center"/>
    </xf>
    <xf numFmtId="3" fontId="0" fillId="0" borderId="0" xfId="9" applyNumberFormat="1" applyFont="1" applyBorder="1" applyAlignment="1" applyProtection="1">
      <alignment horizontal="center"/>
    </xf>
    <xf numFmtId="0" fontId="131" fillId="0" borderId="88" xfId="0" applyFont="1" applyBorder="1" applyAlignment="1">
      <alignment wrapText="1"/>
    </xf>
    <xf numFmtId="0" fontId="0" fillId="0" borderId="88" xfId="0" applyBorder="1" applyAlignment="1">
      <alignment wrapText="1"/>
    </xf>
    <xf numFmtId="0" fontId="152" fillId="0" borderId="88" xfId="0" applyFont="1" applyBorder="1" applyAlignment="1">
      <alignment horizontal="left"/>
    </xf>
    <xf numFmtId="0" fontId="152" fillId="0" borderId="88" xfId="0" applyFont="1" applyBorder="1" applyAlignment="1">
      <alignment horizontal="right"/>
    </xf>
    <xf numFmtId="0" fontId="0" fillId="0" borderId="88" xfId="0" applyBorder="1" applyAlignment="1">
      <alignment horizontal="center"/>
    </xf>
    <xf numFmtId="3" fontId="0" fillId="0" borderId="88" xfId="0" applyNumberFormat="1" applyBorder="1" applyAlignment="1">
      <alignment horizontal="center"/>
    </xf>
    <xf numFmtId="0" fontId="0" fillId="0" borderId="88" xfId="0" applyBorder="1"/>
    <xf numFmtId="0" fontId="0" fillId="19" borderId="88" xfId="0" applyFill="1" applyBorder="1"/>
    <xf numFmtId="0" fontId="90" fillId="13" borderId="89" xfId="0" applyFont="1" applyFill="1" applyBorder="1" applyAlignment="1">
      <alignment horizontal="justify" wrapText="1"/>
    </xf>
    <xf numFmtId="0" fontId="90" fillId="14" borderId="90" xfId="0" applyFont="1" applyFill="1" applyBorder="1" applyAlignment="1">
      <alignment horizontal="justify" wrapText="1"/>
    </xf>
    <xf numFmtId="0" fontId="102" fillId="3" borderId="91" xfId="0" applyFont="1" applyFill="1" applyBorder="1" applyAlignment="1">
      <alignment horizontal="left" wrapText="1"/>
    </xf>
    <xf numFmtId="0" fontId="217" fillId="0" borderId="0" xfId="258" applyFont="1" applyAlignment="1" applyProtection="1">
      <alignment horizontal="center" vertical="top" wrapText="1"/>
    </xf>
    <xf numFmtId="0" fontId="218" fillId="0" borderId="18" xfId="0" applyFont="1" applyBorder="1" applyAlignment="1">
      <alignment vertical="top" wrapText="1"/>
    </xf>
    <xf numFmtId="0" fontId="218" fillId="0" borderId="0" xfId="0" applyFont="1" applyAlignment="1">
      <alignment wrapText="1"/>
    </xf>
    <xf numFmtId="0" fontId="218" fillId="0" borderId="18" xfId="0" applyFont="1" applyBorder="1" applyAlignment="1">
      <alignment wrapText="1"/>
    </xf>
    <xf numFmtId="0" fontId="218" fillId="0" borderId="16" xfId="0" applyFont="1" applyBorder="1" applyAlignment="1">
      <alignment wrapText="1"/>
    </xf>
    <xf numFmtId="0" fontId="218" fillId="0" borderId="84" xfId="0" applyFont="1" applyBorder="1" applyAlignment="1">
      <alignment wrapText="1"/>
    </xf>
    <xf numFmtId="0" fontId="218" fillId="0" borderId="88" xfId="0" applyFont="1" applyBorder="1" applyAlignment="1">
      <alignment wrapText="1"/>
    </xf>
    <xf numFmtId="0" fontId="131" fillId="0" borderId="16" xfId="0" applyFont="1" applyBorder="1" applyAlignment="1">
      <alignment horizontal="left" vertical="center"/>
    </xf>
    <xf numFmtId="0" fontId="131" fillId="0" borderId="16" xfId="0" applyFont="1" applyBorder="1" applyAlignment="1">
      <alignment horizontal="right" vertical="center"/>
    </xf>
    <xf numFmtId="0" fontId="131" fillId="0" borderId="16" xfId="0" applyFont="1" applyBorder="1" applyAlignment="1">
      <alignment horizontal="center" vertical="center"/>
    </xf>
    <xf numFmtId="0" fontId="0" fillId="0" borderId="16" xfId="0" applyBorder="1" applyAlignment="1">
      <alignment vertical="center"/>
    </xf>
    <xf numFmtId="0" fontId="0" fillId="19" borderId="16" xfId="0" applyFill="1" applyBorder="1" applyAlignment="1">
      <alignment vertical="center"/>
    </xf>
    <xf numFmtId="0" fontId="131" fillId="0" borderId="20" xfId="0" applyFont="1" applyBorder="1" applyAlignment="1">
      <alignment horizontal="left" vertical="center"/>
    </xf>
    <xf numFmtId="0" fontId="131" fillId="0" borderId="20" xfId="0" applyFont="1" applyBorder="1" applyAlignment="1">
      <alignment horizontal="right" vertical="center"/>
    </xf>
    <xf numFmtId="0" fontId="131" fillId="0" borderId="20" xfId="0" applyFont="1" applyBorder="1" applyAlignment="1">
      <alignment horizontal="center" vertical="center"/>
    </xf>
    <xf numFmtId="0" fontId="218" fillId="0" borderId="20" xfId="0" applyFont="1" applyBorder="1" applyAlignment="1">
      <alignment vertical="center" wrapText="1"/>
    </xf>
    <xf numFmtId="0" fontId="0" fillId="0" borderId="20" xfId="0" applyBorder="1" applyAlignment="1">
      <alignment vertical="center"/>
    </xf>
    <xf numFmtId="0" fontId="0" fillId="19" borderId="20" xfId="0" applyFill="1" applyBorder="1" applyAlignment="1">
      <alignment vertical="center"/>
    </xf>
    <xf numFmtId="0" fontId="90" fillId="13" borderId="53" xfId="0" applyFont="1" applyFill="1" applyBorder="1" applyAlignment="1">
      <alignment vertical="center" wrapText="1"/>
    </xf>
    <xf numFmtId="0" fontId="90" fillId="14" borderId="54" xfId="0" applyFont="1" applyFill="1" applyBorder="1" applyAlignment="1">
      <alignment vertical="center" wrapText="1"/>
    </xf>
    <xf numFmtId="0" fontId="102" fillId="3" borderId="55" xfId="0" applyFont="1" applyFill="1" applyBorder="1" applyAlignment="1">
      <alignment horizontal="left" vertical="center" wrapText="1"/>
    </xf>
    <xf numFmtId="0" fontId="178" fillId="12" borderId="32" xfId="0" applyFont="1" applyFill="1" applyBorder="1" applyAlignment="1">
      <alignment wrapText="1"/>
    </xf>
    <xf numFmtId="0" fontId="149" fillId="12" borderId="0" xfId="0" applyFont="1" applyFill="1" applyAlignment="1">
      <alignment wrapText="1"/>
    </xf>
    <xf numFmtId="0" fontId="178" fillId="12" borderId="0" xfId="0" applyFont="1" applyFill="1" applyAlignment="1">
      <alignment horizontal="left"/>
    </xf>
    <xf numFmtId="0" fontId="152" fillId="12" borderId="0" xfId="0" applyFont="1" applyFill="1" applyAlignment="1">
      <alignment horizontal="right"/>
    </xf>
    <xf numFmtId="0" fontId="178" fillId="12" borderId="4" xfId="0" applyFont="1" applyFill="1" applyBorder="1" applyAlignment="1">
      <alignment wrapText="1"/>
    </xf>
    <xf numFmtId="0" fontId="149" fillId="12" borderId="18" xfId="0" applyFont="1" applyFill="1" applyBorder="1" applyAlignment="1">
      <alignment wrapText="1"/>
    </xf>
    <xf numFmtId="0" fontId="131" fillId="12" borderId="0" xfId="0" applyFont="1" applyFill="1" applyAlignment="1">
      <alignment horizontal="left"/>
    </xf>
    <xf numFmtId="0" fontId="131" fillId="12" borderId="0" xfId="0" applyFont="1" applyFill="1" applyAlignment="1">
      <alignment horizontal="right"/>
    </xf>
    <xf numFmtId="0" fontId="153" fillId="12" borderId="0" xfId="0" applyFont="1" applyFill="1" applyAlignment="1">
      <alignment wrapText="1"/>
    </xf>
    <xf numFmtId="0" fontId="153" fillId="12" borderId="18" xfId="0" applyFont="1" applyFill="1" applyBorder="1" applyAlignment="1">
      <alignment wrapText="1"/>
    </xf>
    <xf numFmtId="0" fontId="131" fillId="12" borderId="18" xfId="0" applyFont="1" applyFill="1" applyBorder="1" applyAlignment="1">
      <alignment horizontal="left"/>
    </xf>
    <xf numFmtId="0" fontId="0" fillId="12" borderId="18" xfId="0" applyFill="1" applyBorder="1" applyAlignment="1">
      <alignment wrapText="1"/>
    </xf>
    <xf numFmtId="0" fontId="152" fillId="12" borderId="0" xfId="0" applyFont="1" applyFill="1" applyAlignment="1">
      <alignment horizontal="left"/>
    </xf>
    <xf numFmtId="0" fontId="198" fillId="12" borderId="0" xfId="0" applyFont="1" applyFill="1" applyAlignment="1">
      <alignment horizontal="right"/>
    </xf>
    <xf numFmtId="0" fontId="198" fillId="12" borderId="18" xfId="0" applyFont="1" applyFill="1" applyBorder="1" applyAlignment="1">
      <alignment horizontal="right"/>
    </xf>
    <xf numFmtId="0" fontId="221" fillId="12" borderId="0" xfId="0" applyFont="1" applyFill="1" applyAlignment="1">
      <alignment horizontal="right"/>
    </xf>
    <xf numFmtId="0" fontId="0" fillId="12" borderId="10" xfId="0" applyFill="1" applyBorder="1" applyAlignment="1">
      <alignment horizontal="center"/>
    </xf>
    <xf numFmtId="0" fontId="75" fillId="12" borderId="10" xfId="0" applyFont="1" applyFill="1" applyBorder="1" applyAlignment="1">
      <alignment horizontal="center"/>
    </xf>
    <xf numFmtId="9" fontId="198" fillId="12" borderId="10" xfId="8" applyFont="1" applyFill="1" applyBorder="1" applyAlignment="1" applyProtection="1">
      <alignment horizontal="left"/>
    </xf>
    <xf numFmtId="0" fontId="131" fillId="12" borderId="10" xfId="0" applyFont="1" applyFill="1" applyBorder="1" applyAlignment="1">
      <alignment horizontal="center"/>
    </xf>
    <xf numFmtId="0" fontId="198" fillId="12" borderId="10" xfId="0" applyFont="1" applyFill="1" applyBorder="1" applyAlignment="1">
      <alignment horizontal="left"/>
    </xf>
    <xf numFmtId="9" fontId="198" fillId="12" borderId="3" xfId="8" applyFont="1" applyFill="1" applyBorder="1" applyAlignment="1" applyProtection="1">
      <alignment horizontal="left"/>
    </xf>
    <xf numFmtId="3" fontId="0" fillId="12" borderId="34" xfId="0" applyNumberFormat="1" applyFill="1" applyBorder="1" applyAlignment="1">
      <alignment horizontal="center"/>
    </xf>
    <xf numFmtId="3" fontId="0" fillId="12" borderId="50" xfId="0" applyNumberFormat="1" applyFill="1" applyBorder="1" applyAlignment="1">
      <alignment horizontal="center"/>
    </xf>
    <xf numFmtId="3" fontId="0" fillId="12" borderId="35" xfId="0" applyNumberFormat="1" applyFill="1" applyBorder="1" applyAlignment="1">
      <alignment horizontal="center"/>
    </xf>
    <xf numFmtId="172" fontId="0" fillId="12" borderId="34" xfId="0" applyNumberFormat="1" applyFill="1" applyBorder="1" applyAlignment="1">
      <alignment horizontal="center"/>
    </xf>
    <xf numFmtId="172" fontId="0" fillId="12" borderId="50" xfId="0" applyNumberFormat="1" applyFill="1" applyBorder="1" applyAlignment="1">
      <alignment horizontal="center"/>
    </xf>
    <xf numFmtId="172" fontId="0" fillId="12" borderId="35" xfId="0" applyNumberFormat="1" applyFill="1" applyBorder="1" applyAlignment="1">
      <alignment horizontal="center"/>
    </xf>
    <xf numFmtId="9" fontId="220" fillId="12" borderId="34" xfId="8" applyFont="1" applyFill="1" applyBorder="1" applyAlignment="1" applyProtection="1">
      <alignment horizontal="center"/>
    </xf>
    <xf numFmtId="9" fontId="220" fillId="12" borderId="50" xfId="8" applyFont="1" applyFill="1" applyBorder="1" applyAlignment="1" applyProtection="1">
      <alignment horizontal="center"/>
    </xf>
    <xf numFmtId="9" fontId="220" fillId="12" borderId="35" xfId="8" applyFont="1" applyFill="1" applyBorder="1" applyAlignment="1" applyProtection="1">
      <alignment horizontal="center"/>
    </xf>
    <xf numFmtId="9" fontId="220" fillId="12" borderId="65" xfId="8" applyFont="1" applyFill="1" applyBorder="1" applyAlignment="1" applyProtection="1">
      <alignment horizontal="center"/>
    </xf>
    <xf numFmtId="9" fontId="220" fillId="12" borderId="66" xfId="8" applyFont="1" applyFill="1" applyBorder="1" applyAlignment="1" applyProtection="1">
      <alignment horizontal="center"/>
    </xf>
    <xf numFmtId="9" fontId="220" fillId="12" borderId="51" xfId="8" applyFont="1" applyFill="1" applyBorder="1" applyAlignment="1" applyProtection="1">
      <alignment horizontal="center"/>
    </xf>
    <xf numFmtId="168" fontId="75" fillId="12" borderId="34" xfId="8" applyNumberFormat="1" applyFont="1" applyFill="1" applyBorder="1" applyAlignment="1" applyProtection="1">
      <alignment horizontal="center"/>
    </xf>
    <xf numFmtId="168" fontId="75" fillId="12" borderId="50" xfId="8" applyNumberFormat="1" applyFont="1" applyFill="1" applyBorder="1" applyAlignment="1" applyProtection="1">
      <alignment horizontal="center"/>
    </xf>
    <xf numFmtId="168" fontId="75" fillId="12" borderId="35" xfId="8" applyNumberFormat="1" applyFont="1" applyFill="1" applyBorder="1" applyAlignment="1" applyProtection="1">
      <alignment horizontal="center"/>
    </xf>
    <xf numFmtId="168" fontId="4" fillId="12" borderId="50" xfId="8" applyNumberFormat="1" applyFont="1" applyFill="1" applyBorder="1" applyAlignment="1" applyProtection="1">
      <alignment horizontal="center"/>
    </xf>
    <xf numFmtId="168" fontId="4" fillId="12" borderId="35" xfId="8" applyNumberFormat="1" applyFont="1" applyFill="1" applyBorder="1" applyAlignment="1" applyProtection="1">
      <alignment horizontal="center"/>
    </xf>
    <xf numFmtId="168" fontId="0" fillId="12" borderId="34" xfId="0" applyNumberFormat="1" applyFill="1" applyBorder="1" applyAlignment="1">
      <alignment horizontal="center"/>
    </xf>
    <xf numFmtId="168" fontId="0" fillId="12" borderId="50" xfId="0" applyNumberFormat="1" applyFill="1" applyBorder="1" applyAlignment="1">
      <alignment horizontal="center"/>
    </xf>
    <xf numFmtId="168" fontId="0" fillId="12" borderId="35" xfId="0" applyNumberFormat="1" applyFill="1" applyBorder="1" applyAlignment="1">
      <alignment horizontal="center"/>
    </xf>
    <xf numFmtId="168" fontId="75" fillId="12" borderId="51" xfId="0" applyNumberFormat="1" applyFont="1" applyFill="1" applyBorder="1" applyAlignment="1">
      <alignment horizontal="center"/>
    </xf>
    <xf numFmtId="9" fontId="219" fillId="12" borderId="65" xfId="8" applyFont="1" applyFill="1" applyBorder="1" applyAlignment="1" applyProtection="1">
      <alignment horizontal="center"/>
    </xf>
    <xf numFmtId="9" fontId="219" fillId="12" borderId="66" xfId="8" applyFont="1" applyFill="1" applyBorder="1" applyAlignment="1" applyProtection="1">
      <alignment horizontal="center"/>
    </xf>
    <xf numFmtId="9" fontId="219" fillId="12" borderId="51" xfId="8" applyFont="1" applyFill="1" applyBorder="1" applyAlignment="1" applyProtection="1">
      <alignment horizontal="center"/>
    </xf>
    <xf numFmtId="168" fontId="75" fillId="12" borderId="34" xfId="0" applyNumberFormat="1" applyFont="1" applyFill="1" applyBorder="1" applyAlignment="1">
      <alignment horizontal="center"/>
    </xf>
    <xf numFmtId="168" fontId="75" fillId="12" borderId="50" xfId="0" applyNumberFormat="1" applyFont="1" applyFill="1" applyBorder="1" applyAlignment="1">
      <alignment horizontal="center"/>
    </xf>
    <xf numFmtId="168" fontId="75" fillId="12" borderId="35" xfId="0" applyNumberFormat="1" applyFont="1" applyFill="1" applyBorder="1" applyAlignment="1">
      <alignment horizontal="center"/>
    </xf>
    <xf numFmtId="168" fontId="151" fillId="12" borderId="34" xfId="0" applyNumberFormat="1" applyFont="1" applyFill="1" applyBorder="1" applyAlignment="1">
      <alignment horizontal="center"/>
    </xf>
    <xf numFmtId="168" fontId="151" fillId="12" borderId="50" xfId="0" applyNumberFormat="1" applyFont="1" applyFill="1" applyBorder="1" applyAlignment="1">
      <alignment horizontal="center"/>
    </xf>
    <xf numFmtId="168" fontId="151" fillId="12" borderId="35" xfId="0" applyNumberFormat="1" applyFont="1" applyFill="1" applyBorder="1" applyAlignment="1">
      <alignment horizontal="center"/>
    </xf>
    <xf numFmtId="3" fontId="75" fillId="9" borderId="34" xfId="0" applyNumberFormat="1" applyFont="1" applyFill="1" applyBorder="1" applyAlignment="1" applyProtection="1">
      <alignment horizontal="center"/>
      <protection locked="0"/>
    </xf>
    <xf numFmtId="3" fontId="75" fillId="9" borderId="50" xfId="0" applyNumberFormat="1" applyFont="1" applyFill="1" applyBorder="1" applyAlignment="1" applyProtection="1">
      <alignment horizontal="center"/>
      <protection locked="0"/>
    </xf>
    <xf numFmtId="3" fontId="75" fillId="7" borderId="50" xfId="0" applyNumberFormat="1" applyFont="1" applyFill="1" applyBorder="1" applyAlignment="1">
      <alignment horizontal="center"/>
    </xf>
    <xf numFmtId="3" fontId="75" fillId="9" borderId="35" xfId="0" applyNumberFormat="1" applyFont="1" applyFill="1" applyBorder="1" applyAlignment="1" applyProtection="1">
      <alignment horizontal="center"/>
      <protection locked="0"/>
    </xf>
    <xf numFmtId="3" fontId="75" fillId="9" borderId="65" xfId="0" applyNumberFormat="1" applyFont="1" applyFill="1" applyBorder="1" applyAlignment="1" applyProtection="1">
      <alignment horizontal="center"/>
      <protection locked="0"/>
    </xf>
    <xf numFmtId="3" fontId="75" fillId="9" borderId="66" xfId="0" applyNumberFormat="1" applyFont="1" applyFill="1" applyBorder="1" applyAlignment="1" applyProtection="1">
      <alignment horizontal="center"/>
      <protection locked="0"/>
    </xf>
    <xf numFmtId="3" fontId="75" fillId="7" borderId="66" xfId="0" applyNumberFormat="1" applyFont="1" applyFill="1" applyBorder="1" applyAlignment="1">
      <alignment horizontal="center"/>
    </xf>
    <xf numFmtId="3" fontId="75" fillId="9" borderId="51" xfId="0" applyNumberFormat="1" applyFont="1" applyFill="1" applyBorder="1" applyAlignment="1" applyProtection="1">
      <alignment horizontal="center"/>
      <protection locked="0"/>
    </xf>
    <xf numFmtId="172" fontId="0" fillId="9" borderId="34" xfId="0" applyNumberFormat="1" applyFill="1" applyBorder="1" applyAlignment="1" applyProtection="1">
      <alignment horizontal="center"/>
      <protection locked="0"/>
    </xf>
    <xf numFmtId="172" fontId="0" fillId="9" borderId="50" xfId="0" applyNumberFormat="1" applyFill="1" applyBorder="1" applyAlignment="1" applyProtection="1">
      <alignment horizontal="center"/>
      <protection locked="0"/>
    </xf>
    <xf numFmtId="172" fontId="0" fillId="7" borderId="50" xfId="0" applyNumberFormat="1" applyFill="1" applyBorder="1" applyAlignment="1">
      <alignment horizontal="center"/>
    </xf>
    <xf numFmtId="172" fontId="0" fillId="9" borderId="35" xfId="0" applyNumberFormat="1" applyFill="1" applyBorder="1" applyAlignment="1" applyProtection="1">
      <alignment horizontal="center"/>
      <protection locked="0"/>
    </xf>
    <xf numFmtId="172" fontId="0" fillId="9" borderId="65" xfId="0" applyNumberFormat="1" applyFill="1" applyBorder="1" applyAlignment="1" applyProtection="1">
      <alignment horizontal="center"/>
      <protection locked="0"/>
    </xf>
    <xf numFmtId="172" fontId="0" fillId="9" borderId="66" xfId="0" applyNumberFormat="1" applyFill="1" applyBorder="1" applyAlignment="1" applyProtection="1">
      <alignment horizontal="center"/>
      <protection locked="0"/>
    </xf>
    <xf numFmtId="172" fontId="0" fillId="7" borderId="66" xfId="0" applyNumberFormat="1" applyFill="1" applyBorder="1" applyAlignment="1">
      <alignment horizontal="center"/>
    </xf>
    <xf numFmtId="172" fontId="0" fillId="9" borderId="51" xfId="0" applyNumberFormat="1" applyFill="1" applyBorder="1" applyAlignment="1" applyProtection="1">
      <alignment horizontal="center"/>
      <protection locked="0"/>
    </xf>
    <xf numFmtId="168" fontId="0" fillId="9" borderId="63" xfId="0" applyNumberFormat="1" applyFill="1" applyBorder="1" applyAlignment="1" applyProtection="1">
      <alignment horizontal="center" vertical="center"/>
      <protection locked="0"/>
    </xf>
    <xf numFmtId="168" fontId="0" fillId="9" borderId="59" xfId="0" applyNumberFormat="1" applyFill="1" applyBorder="1" applyAlignment="1" applyProtection="1">
      <alignment horizontal="center" vertical="center"/>
      <protection locked="0"/>
    </xf>
    <xf numFmtId="168" fontId="0" fillId="7" borderId="59" xfId="0" applyNumberFormat="1" applyFill="1" applyBorder="1" applyAlignment="1">
      <alignment horizontal="center" vertical="center"/>
    </xf>
    <xf numFmtId="168" fontId="0" fillId="9" borderId="64" xfId="0" applyNumberFormat="1" applyFill="1" applyBorder="1" applyAlignment="1" applyProtection="1">
      <alignment horizontal="center" vertical="center"/>
      <protection locked="0"/>
    </xf>
    <xf numFmtId="171" fontId="0" fillId="9" borderId="63" xfId="0" applyNumberFormat="1" applyFill="1" applyBorder="1" applyAlignment="1" applyProtection="1">
      <alignment horizontal="center"/>
      <protection locked="0"/>
    </xf>
    <xf numFmtId="171" fontId="0" fillId="9" borderId="59" xfId="0" applyNumberFormat="1" applyFill="1" applyBorder="1" applyAlignment="1" applyProtection="1">
      <alignment horizontal="center"/>
      <protection locked="0"/>
    </xf>
    <xf numFmtId="171" fontId="0" fillId="7" borderId="59" xfId="0" applyNumberFormat="1" applyFill="1" applyBorder="1" applyAlignment="1">
      <alignment horizontal="center"/>
    </xf>
    <xf numFmtId="171" fontId="0" fillId="9" borderId="64" xfId="0" applyNumberFormat="1" applyFill="1" applyBorder="1" applyAlignment="1" applyProtection="1">
      <alignment horizontal="center"/>
      <protection locked="0"/>
    </xf>
    <xf numFmtId="168" fontId="0" fillId="9" borderId="34" xfId="0" applyNumberFormat="1" applyFill="1" applyBorder="1" applyAlignment="1" applyProtection="1">
      <alignment horizontal="center"/>
      <protection locked="0"/>
    </xf>
    <xf numFmtId="168" fontId="0" fillId="9" borderId="50" xfId="0" applyNumberFormat="1" applyFill="1" applyBorder="1" applyAlignment="1" applyProtection="1">
      <alignment horizontal="center"/>
      <protection locked="0"/>
    </xf>
    <xf numFmtId="168" fontId="0" fillId="7" borderId="50" xfId="0" applyNumberFormat="1" applyFill="1" applyBorder="1" applyAlignment="1">
      <alignment horizontal="center"/>
    </xf>
    <xf numFmtId="168" fontId="0" fillId="9" borderId="35" xfId="0" applyNumberFormat="1" applyFill="1" applyBorder="1" applyAlignment="1" applyProtection="1">
      <alignment horizontal="center"/>
      <protection locked="0"/>
    </xf>
    <xf numFmtId="3" fontId="0" fillId="9" borderId="34" xfId="0" applyNumberFormat="1" applyFill="1" applyBorder="1" applyAlignment="1" applyProtection="1">
      <alignment horizontal="center"/>
      <protection locked="0"/>
    </xf>
    <xf numFmtId="3" fontId="0" fillId="9" borderId="50" xfId="0" applyNumberFormat="1" applyFill="1" applyBorder="1" applyAlignment="1" applyProtection="1">
      <alignment horizontal="center"/>
      <protection locked="0"/>
    </xf>
    <xf numFmtId="3" fontId="0" fillId="7" borderId="50" xfId="0" applyNumberFormat="1" applyFill="1" applyBorder="1" applyAlignment="1">
      <alignment horizontal="center"/>
    </xf>
    <xf numFmtId="3" fontId="0" fillId="9" borderId="35" xfId="0" applyNumberFormat="1" applyFill="1" applyBorder="1" applyAlignment="1" applyProtection="1">
      <alignment horizontal="center"/>
      <protection locked="0"/>
    </xf>
    <xf numFmtId="20" fontId="0" fillId="9" borderId="34" xfId="0" applyNumberFormat="1" applyFill="1" applyBorder="1" applyAlignment="1" applyProtection="1">
      <alignment horizontal="center"/>
      <protection locked="0"/>
    </xf>
    <xf numFmtId="20" fontId="0" fillId="9" borderId="50" xfId="0" applyNumberFormat="1" applyFill="1" applyBorder="1" applyAlignment="1" applyProtection="1">
      <alignment horizontal="center"/>
      <protection locked="0"/>
    </xf>
    <xf numFmtId="20" fontId="0" fillId="7" borderId="50" xfId="0" applyNumberFormat="1" applyFill="1" applyBorder="1" applyAlignment="1">
      <alignment horizontal="center"/>
    </xf>
    <xf numFmtId="20" fontId="0" fillId="9" borderId="35" xfId="0" applyNumberFormat="1" applyFill="1" applyBorder="1" applyAlignment="1" applyProtection="1">
      <alignment horizontal="center"/>
      <protection locked="0"/>
    </xf>
    <xf numFmtId="20" fontId="0" fillId="9" borderId="65" xfId="0" applyNumberFormat="1" applyFill="1" applyBorder="1" applyAlignment="1" applyProtection="1">
      <alignment horizontal="center"/>
      <protection locked="0"/>
    </xf>
    <xf numFmtId="20" fontId="0" fillId="9" borderId="66" xfId="0" applyNumberFormat="1" applyFill="1" applyBorder="1" applyAlignment="1" applyProtection="1">
      <alignment horizontal="center"/>
      <protection locked="0"/>
    </xf>
    <xf numFmtId="20" fontId="0" fillId="7" borderId="66" xfId="0" applyNumberFormat="1" applyFill="1" applyBorder="1" applyAlignment="1">
      <alignment horizontal="center"/>
    </xf>
    <xf numFmtId="20" fontId="0" fillId="9" borderId="51" xfId="0" applyNumberFormat="1" applyFill="1" applyBorder="1" applyAlignment="1" applyProtection="1">
      <alignment horizontal="center"/>
      <protection locked="0"/>
    </xf>
    <xf numFmtId="168" fontId="0" fillId="9" borderId="63" xfId="0" applyNumberFormat="1" applyFill="1" applyBorder="1" applyAlignment="1" applyProtection="1">
      <alignment horizontal="center"/>
      <protection locked="0"/>
    </xf>
    <xf numFmtId="168" fontId="0" fillId="9" borderId="59" xfId="0" applyNumberFormat="1" applyFill="1" applyBorder="1" applyAlignment="1" applyProtection="1">
      <alignment horizontal="center"/>
      <protection locked="0"/>
    </xf>
    <xf numFmtId="168" fontId="0" fillId="7" borderId="59" xfId="0" applyNumberFormat="1" applyFill="1" applyBorder="1" applyAlignment="1">
      <alignment horizontal="center"/>
    </xf>
    <xf numFmtId="168" fontId="0" fillId="9" borderId="64" xfId="0" applyNumberFormat="1" applyFill="1" applyBorder="1" applyAlignment="1" applyProtection="1">
      <alignment horizontal="center"/>
      <protection locked="0"/>
    </xf>
    <xf numFmtId="168" fontId="0" fillId="9" borderId="65" xfId="0" applyNumberFormat="1" applyFill="1" applyBorder="1" applyAlignment="1" applyProtection="1">
      <alignment horizontal="center"/>
      <protection locked="0"/>
    </xf>
    <xf numFmtId="168" fontId="0" fillId="9" borderId="66" xfId="0" applyNumberFormat="1" applyFill="1" applyBorder="1" applyAlignment="1" applyProtection="1">
      <alignment horizontal="center"/>
      <protection locked="0"/>
    </xf>
    <xf numFmtId="168" fontId="0" fillId="7" borderId="66" xfId="0" applyNumberFormat="1" applyFill="1" applyBorder="1" applyAlignment="1">
      <alignment horizontal="center"/>
    </xf>
    <xf numFmtId="168" fontId="0" fillId="9" borderId="51" xfId="0" applyNumberFormat="1" applyFill="1" applyBorder="1" applyAlignment="1" applyProtection="1">
      <alignment horizontal="center"/>
      <protection locked="0"/>
    </xf>
    <xf numFmtId="168" fontId="0" fillId="9" borderId="53" xfId="0" applyNumberFormat="1" applyFill="1" applyBorder="1" applyAlignment="1" applyProtection="1">
      <alignment horizontal="center" vertical="center"/>
      <protection locked="0"/>
    </xf>
    <xf numFmtId="168" fontId="0" fillId="9" borderId="54" xfId="0" applyNumberFormat="1" applyFill="1" applyBorder="1" applyAlignment="1" applyProtection="1">
      <alignment horizontal="center" vertical="center"/>
      <protection locked="0"/>
    </xf>
    <xf numFmtId="168" fontId="0" fillId="7" borderId="66" xfId="0" applyNumberFormat="1" applyFill="1" applyBorder="1" applyAlignment="1">
      <alignment horizontal="center" vertical="center"/>
    </xf>
    <xf numFmtId="168" fontId="0" fillId="9" borderId="55" xfId="0" applyNumberFormat="1" applyFill="1" applyBorder="1" applyAlignment="1" applyProtection="1">
      <alignment horizontal="center" vertical="center"/>
      <protection locked="0"/>
    </xf>
    <xf numFmtId="0" fontId="171" fillId="9" borderId="53" xfId="258" applyNumberFormat="1" applyFont="1" applyFill="1" applyBorder="1" applyAlignment="1" applyProtection="1">
      <alignment horizontal="center" vertical="center"/>
      <protection locked="0"/>
    </xf>
    <xf numFmtId="1" fontId="171" fillId="9" borderId="54" xfId="258" applyNumberFormat="1" applyFont="1" applyFill="1" applyBorder="1" applyAlignment="1" applyProtection="1">
      <alignment horizontal="center" vertical="center"/>
      <protection locked="0"/>
    </xf>
    <xf numFmtId="1" fontId="171" fillId="7" borderId="54" xfId="258" applyNumberFormat="1" applyFont="1" applyFill="1" applyBorder="1" applyAlignment="1" applyProtection="1">
      <alignment horizontal="center" vertical="center"/>
    </xf>
    <xf numFmtId="166" fontId="171" fillId="7" borderId="54" xfId="258" applyNumberFormat="1" applyFont="1" applyFill="1" applyBorder="1" applyAlignment="1" applyProtection="1">
      <alignment horizontal="center" vertical="center"/>
    </xf>
    <xf numFmtId="0" fontId="171" fillId="9" borderId="55" xfId="258" applyNumberFormat="1" applyFont="1" applyFill="1" applyBorder="1" applyAlignment="1" applyProtection="1">
      <alignment horizontal="center" vertical="center"/>
      <protection locked="0"/>
    </xf>
    <xf numFmtId="37" fontId="220" fillId="12" borderId="34" xfId="9" applyNumberFormat="1" applyFont="1" applyFill="1" applyBorder="1" applyAlignment="1" applyProtection="1">
      <alignment horizontal="center"/>
    </xf>
    <xf numFmtId="37" fontId="220" fillId="12" borderId="50" xfId="9" applyNumberFormat="1" applyFont="1" applyFill="1" applyBorder="1" applyAlignment="1" applyProtection="1">
      <alignment horizontal="center"/>
    </xf>
    <xf numFmtId="37" fontId="220" fillId="12" borderId="35" xfId="9" applyNumberFormat="1" applyFont="1" applyFill="1" applyBorder="1" applyAlignment="1" applyProtection="1">
      <alignment horizontal="center"/>
    </xf>
    <xf numFmtId="9" fontId="223" fillId="12" borderId="34" xfId="8" applyFont="1" applyFill="1" applyBorder="1" applyAlignment="1" applyProtection="1">
      <alignment horizontal="center"/>
    </xf>
    <xf numFmtId="9" fontId="223" fillId="12" borderId="50" xfId="8" applyFont="1" applyFill="1" applyBorder="1" applyAlignment="1" applyProtection="1">
      <alignment horizontal="center"/>
    </xf>
    <xf numFmtId="9" fontId="223" fillId="12" borderId="35" xfId="8" applyFont="1" applyFill="1" applyBorder="1" applyAlignment="1" applyProtection="1">
      <alignment horizontal="center"/>
    </xf>
    <xf numFmtId="9" fontId="223" fillId="12" borderId="10" xfId="8" applyFont="1" applyFill="1" applyBorder="1" applyAlignment="1" applyProtection="1">
      <alignment horizontal="left"/>
    </xf>
    <xf numFmtId="0" fontId="220" fillId="12" borderId="0" xfId="0" applyFont="1" applyFill="1" applyAlignment="1">
      <alignment horizontal="right"/>
    </xf>
    <xf numFmtId="9" fontId="220" fillId="12" borderId="10" xfId="8" applyFont="1" applyFill="1" applyBorder="1" applyAlignment="1" applyProtection="1">
      <alignment horizontal="left"/>
    </xf>
    <xf numFmtId="0" fontId="102" fillId="3" borderId="64" xfId="0" applyFont="1" applyFill="1" applyBorder="1" applyAlignment="1">
      <alignment horizontal="left" vertical="top" wrapText="1"/>
    </xf>
    <xf numFmtId="0" fontId="90" fillId="13" borderId="53" xfId="0" applyFont="1" applyFill="1" applyBorder="1" applyAlignment="1">
      <alignment vertical="top" wrapText="1"/>
    </xf>
    <xf numFmtId="0" fontId="90" fillId="14" borderId="54" xfId="0" applyFont="1" applyFill="1" applyBorder="1" applyAlignment="1">
      <alignment vertical="top" wrapText="1"/>
    </xf>
    <xf numFmtId="0" fontId="102" fillId="3" borderId="55" xfId="0" applyFont="1" applyFill="1" applyBorder="1" applyAlignment="1">
      <alignment horizontal="left" vertical="top" wrapText="1"/>
    </xf>
    <xf numFmtId="0" fontId="0" fillId="12" borderId="0" xfId="0" applyFill="1" applyAlignment="1">
      <alignment wrapText="1"/>
    </xf>
    <xf numFmtId="0" fontId="198" fillId="12" borderId="3" xfId="9" applyNumberFormat="1" applyFont="1" applyFill="1" applyBorder="1" applyAlignment="1" applyProtection="1">
      <alignment horizontal="left"/>
    </xf>
    <xf numFmtId="0" fontId="224" fillId="12" borderId="32" xfId="0" applyFont="1" applyFill="1" applyBorder="1" applyAlignment="1">
      <alignment wrapText="1"/>
    </xf>
    <xf numFmtId="0" fontId="224" fillId="12" borderId="4" xfId="0" applyFont="1" applyFill="1" applyBorder="1" applyAlignment="1">
      <alignment wrapText="1"/>
    </xf>
    <xf numFmtId="0" fontId="200" fillId="12" borderId="0" xfId="0" applyFont="1" applyFill="1" applyAlignment="1">
      <alignment wrapText="1"/>
    </xf>
    <xf numFmtId="0" fontId="200" fillId="12" borderId="18" xfId="0" applyFont="1" applyFill="1" applyBorder="1" applyAlignment="1">
      <alignment wrapText="1"/>
    </xf>
    <xf numFmtId="0" fontId="224" fillId="0" borderId="0" xfId="0" applyFont="1" applyAlignment="1">
      <alignment wrapText="1"/>
    </xf>
    <xf numFmtId="0" fontId="224" fillId="0" borderId="18" xfId="0" applyFont="1" applyBorder="1" applyAlignment="1">
      <alignment wrapText="1"/>
    </xf>
    <xf numFmtId="0" fontId="224" fillId="0" borderId="16" xfId="0" applyFont="1" applyBorder="1" applyAlignment="1">
      <alignment vertical="center" wrapText="1"/>
    </xf>
    <xf numFmtId="0" fontId="224" fillId="0" borderId="15" xfId="0" applyFont="1" applyBorder="1" applyAlignment="1">
      <alignment wrapText="1"/>
    </xf>
    <xf numFmtId="0" fontId="224" fillId="0" borderId="32" xfId="0" applyFont="1" applyBorder="1" applyAlignment="1">
      <alignment wrapText="1"/>
    </xf>
    <xf numFmtId="0" fontId="224" fillId="0" borderId="4" xfId="0" applyFont="1" applyBorder="1" applyAlignment="1">
      <alignment wrapText="1"/>
    </xf>
    <xf numFmtId="0" fontId="224" fillId="0" borderId="20" xfId="0" applyFont="1" applyBorder="1" applyAlignment="1">
      <alignment vertical="center" wrapText="1"/>
    </xf>
    <xf numFmtId="0" fontId="224" fillId="12" borderId="32" xfId="0" applyFont="1" applyFill="1" applyBorder="1" applyAlignment="1">
      <alignment vertical="top" wrapText="1"/>
    </xf>
    <xf numFmtId="0" fontId="224" fillId="12" borderId="4" xfId="0" applyFont="1" applyFill="1" applyBorder="1" applyAlignment="1">
      <alignment vertical="top" wrapText="1"/>
    </xf>
    <xf numFmtId="0" fontId="178" fillId="12" borderId="32" xfId="0" applyFont="1" applyFill="1" applyBorder="1" applyAlignment="1">
      <alignment vertical="top" wrapText="1"/>
    </xf>
    <xf numFmtId="0" fontId="178" fillId="12" borderId="4" xfId="0" applyFont="1" applyFill="1" applyBorder="1" applyAlignment="1">
      <alignment vertical="top" wrapText="1"/>
    </xf>
    <xf numFmtId="0" fontId="131" fillId="12" borderId="4" xfId="0" applyFont="1" applyFill="1" applyBorder="1" applyAlignment="1">
      <alignment vertical="top" wrapText="1"/>
    </xf>
    <xf numFmtId="0" fontId="131" fillId="12" borderId="32" xfId="0" applyFont="1" applyFill="1" applyBorder="1" applyAlignment="1">
      <alignment vertical="top" wrapText="1"/>
    </xf>
    <xf numFmtId="0" fontId="0" fillId="12" borderId="32" xfId="0" applyFill="1" applyBorder="1" applyAlignment="1">
      <alignment vertical="top" wrapText="1"/>
    </xf>
    <xf numFmtId="0" fontId="75" fillId="12" borderId="4" xfId="0" applyFont="1" applyFill="1" applyBorder="1" applyAlignment="1">
      <alignment vertical="top" wrapText="1"/>
    </xf>
    <xf numFmtId="0" fontId="123" fillId="0" borderId="21" xfId="0" applyFont="1" applyBorder="1" applyAlignment="1">
      <alignment vertical="center" wrapText="1"/>
    </xf>
    <xf numFmtId="0" fontId="152" fillId="0" borderId="32" xfId="0" applyFont="1" applyBorder="1" applyAlignment="1">
      <alignment horizontal="left"/>
    </xf>
    <xf numFmtId="0" fontId="123" fillId="0" borderId="16" xfId="0" applyFont="1" applyBorder="1" applyAlignment="1">
      <alignment vertical="center" wrapText="1"/>
    </xf>
    <xf numFmtId="0" fontId="123" fillId="0" borderId="17" xfId="0" applyFont="1" applyBorder="1" applyAlignment="1">
      <alignment vertical="center" wrapText="1"/>
    </xf>
    <xf numFmtId="0" fontId="102" fillId="3" borderId="64" xfId="0" applyFont="1" applyFill="1" applyBorder="1" applyAlignment="1">
      <alignment horizontal="left" vertical="center" wrapText="1"/>
    </xf>
    <xf numFmtId="0" fontId="225" fillId="12" borderId="32" xfId="0" applyFont="1" applyFill="1" applyBorder="1" applyAlignment="1">
      <alignment vertical="top" wrapText="1"/>
    </xf>
    <xf numFmtId="0" fontId="5" fillId="0" borderId="0" xfId="0" applyFont="1" applyAlignment="1">
      <alignment wrapText="1"/>
    </xf>
    <xf numFmtId="0" fontId="5" fillId="0" borderId="18" xfId="0" applyFont="1" applyBorder="1" applyAlignment="1">
      <alignment wrapText="1"/>
    </xf>
    <xf numFmtId="0" fontId="5" fillId="0" borderId="16" xfId="0" applyFont="1" applyBorder="1" applyAlignment="1">
      <alignment vertical="center" wrapText="1"/>
    </xf>
    <xf numFmtId="0" fontId="5" fillId="0" borderId="16" xfId="0" applyFont="1" applyBorder="1" applyAlignment="1">
      <alignment wrapText="1"/>
    </xf>
    <xf numFmtId="0" fontId="5" fillId="0" borderId="20" xfId="0" applyFont="1" applyBorder="1" applyAlignment="1">
      <alignment vertical="center" wrapText="1"/>
    </xf>
    <xf numFmtId="0" fontId="90" fillId="13" borderId="34" xfId="0" applyFont="1" applyFill="1" applyBorder="1" applyAlignment="1">
      <alignment horizontal="justify" vertical="top" wrapText="1"/>
    </xf>
    <xf numFmtId="0" fontId="90" fillId="14" borderId="50" xfId="0" applyFont="1" applyFill="1" applyBorder="1" applyAlignment="1">
      <alignment horizontal="justify" vertical="top" wrapText="1"/>
    </xf>
    <xf numFmtId="164" fontId="219" fillId="12" borderId="65" xfId="9" applyNumberFormat="1" applyFont="1" applyFill="1" applyBorder="1" applyAlignment="1" applyProtection="1">
      <alignment horizontal="center"/>
    </xf>
    <xf numFmtId="164" fontId="219" fillId="12" borderId="66" xfId="9" applyNumberFormat="1" applyFont="1" applyFill="1" applyBorder="1" applyAlignment="1" applyProtection="1">
      <alignment horizontal="center"/>
    </xf>
    <xf numFmtId="164" fontId="219" fillId="12" borderId="51" xfId="9" applyNumberFormat="1" applyFont="1" applyFill="1" applyBorder="1" applyAlignment="1" applyProtection="1">
      <alignment horizontal="center"/>
    </xf>
    <xf numFmtId="0" fontId="109" fillId="0" borderId="0" xfId="0" applyFont="1"/>
    <xf numFmtId="0" fontId="109" fillId="0" borderId="18" xfId="0" applyFont="1" applyBorder="1"/>
    <xf numFmtId="0" fontId="94" fillId="13" borderId="65" xfId="0" applyFont="1" applyFill="1" applyBorder="1" applyAlignment="1">
      <alignment wrapText="1"/>
    </xf>
    <xf numFmtId="0" fontId="94" fillId="14" borderId="50" xfId="0" applyFont="1" applyFill="1" applyBorder="1"/>
    <xf numFmtId="0" fontId="94" fillId="14" borderId="66" xfId="0" applyFont="1" applyFill="1" applyBorder="1" applyAlignment="1">
      <alignment wrapText="1"/>
    </xf>
    <xf numFmtId="0" fontId="194" fillId="18" borderId="0" xfId="0" applyFont="1" applyFill="1" applyAlignment="1">
      <alignment vertical="top"/>
    </xf>
    <xf numFmtId="0" fontId="200" fillId="18" borderId="0" xfId="0" applyFont="1" applyFill="1" applyAlignment="1">
      <alignment wrapText="1"/>
    </xf>
    <xf numFmtId="0" fontId="7" fillId="18" borderId="0" xfId="0" applyFont="1" applyFill="1" applyAlignment="1">
      <alignment horizontal="right" vertical="center"/>
    </xf>
    <xf numFmtId="0" fontId="180" fillId="0" borderId="0" xfId="258" applyNumberFormat="1" applyFont="1" applyFill="1" applyAlignment="1" applyProtection="1">
      <alignment vertical="center"/>
    </xf>
    <xf numFmtId="0" fontId="207" fillId="0" borderId="0" xfId="258" applyNumberFormat="1" applyFont="1" applyFill="1" applyAlignment="1" applyProtection="1">
      <alignment vertical="top"/>
    </xf>
    <xf numFmtId="0" fontId="207" fillId="0" borderId="0" xfId="258" applyNumberFormat="1" applyFont="1" applyFill="1" applyAlignment="1" applyProtection="1">
      <alignment vertical="top" wrapText="1"/>
    </xf>
    <xf numFmtId="0" fontId="181" fillId="12" borderId="0" xfId="0" applyFont="1" applyFill="1" applyAlignment="1">
      <alignment wrapText="1"/>
    </xf>
    <xf numFmtId="0" fontId="94" fillId="13" borderId="34" xfId="0" applyFont="1" applyFill="1" applyBorder="1" applyAlignment="1">
      <alignment horizontal="justify" vertical="top" wrapText="1"/>
    </xf>
    <xf numFmtId="0" fontId="94" fillId="14" borderId="50" xfId="0" applyFont="1" applyFill="1" applyBorder="1" applyAlignment="1">
      <alignment horizontal="justify" vertical="top" wrapText="1"/>
    </xf>
    <xf numFmtId="0" fontId="226" fillId="0" borderId="16" xfId="0" applyFont="1" applyBorder="1" applyAlignment="1">
      <alignment vertical="center" wrapText="1"/>
    </xf>
    <xf numFmtId="0" fontId="75" fillId="12" borderId="32" xfId="0" applyFont="1" applyFill="1" applyBorder="1" applyAlignment="1">
      <alignment vertical="top" wrapText="1"/>
    </xf>
    <xf numFmtId="0" fontId="209" fillId="12" borderId="0" xfId="0" applyFont="1" applyFill="1" applyAlignment="1">
      <alignment wrapText="1"/>
    </xf>
    <xf numFmtId="9" fontId="222" fillId="12" borderId="10" xfId="8" applyFont="1" applyFill="1" applyBorder="1" applyAlignment="1" applyProtection="1">
      <alignment horizontal="left"/>
    </xf>
    <xf numFmtId="9" fontId="222" fillId="12" borderId="34" xfId="8" applyFont="1" applyFill="1" applyBorder="1" applyAlignment="1" applyProtection="1">
      <alignment horizontal="center"/>
    </xf>
    <xf numFmtId="9" fontId="222" fillId="12" borderId="50" xfId="8" applyFont="1" applyFill="1" applyBorder="1" applyAlignment="1" applyProtection="1">
      <alignment horizontal="center"/>
    </xf>
    <xf numFmtId="9" fontId="222" fillId="12" borderId="35" xfId="8" applyFont="1" applyFill="1" applyBorder="1" applyAlignment="1" applyProtection="1">
      <alignment horizontal="center"/>
    </xf>
    <xf numFmtId="0" fontId="11" fillId="13" borderId="34" xfId="0" applyFont="1" applyFill="1" applyBorder="1" applyAlignment="1">
      <alignment horizontal="justify" wrapText="1"/>
    </xf>
    <xf numFmtId="0" fontId="11" fillId="14" borderId="50" xfId="0" applyFont="1" applyFill="1" applyBorder="1" applyAlignment="1">
      <alignment horizontal="justify" wrapText="1"/>
    </xf>
    <xf numFmtId="0" fontId="25" fillId="3" borderId="35" xfId="0" applyFont="1" applyFill="1" applyBorder="1" applyAlignment="1">
      <alignment horizontal="left" wrapText="1"/>
    </xf>
    <xf numFmtId="0" fontId="151" fillId="0" borderId="0" xfId="0" applyFont="1" applyAlignment="1">
      <alignment vertical="top"/>
    </xf>
    <xf numFmtId="0" fontId="75" fillId="0" borderId="0" xfId="0" applyFont="1" applyAlignment="1">
      <alignment vertical="top"/>
    </xf>
    <xf numFmtId="0" fontId="218" fillId="0" borderId="0" xfId="0" applyFont="1" applyAlignment="1">
      <alignment vertical="top" wrapText="1"/>
    </xf>
    <xf numFmtId="0" fontId="90" fillId="0" borderId="34" xfId="0" applyFont="1" applyBorder="1" applyAlignment="1">
      <alignment vertical="top" wrapText="1"/>
    </xf>
    <xf numFmtId="0" fontId="90" fillId="0" borderId="50" xfId="0" applyFont="1" applyBorder="1" applyAlignment="1">
      <alignment vertical="top" wrapText="1"/>
    </xf>
    <xf numFmtId="0" fontId="75" fillId="12" borderId="16" xfId="0" applyFont="1" applyFill="1" applyBorder="1" applyAlignment="1">
      <alignment horizontal="center" vertical="top"/>
    </xf>
    <xf numFmtId="1" fontId="229" fillId="12" borderId="63" xfId="0" applyNumberFormat="1" applyFont="1" applyFill="1" applyBorder="1" applyAlignment="1">
      <alignment horizontal="center" vertical="top" wrapText="1"/>
    </xf>
    <xf numFmtId="1" fontId="229" fillId="12" borderId="59" xfId="0" applyNumberFormat="1" applyFont="1" applyFill="1" applyBorder="1" applyAlignment="1">
      <alignment horizontal="center" vertical="top" wrapText="1"/>
    </xf>
    <xf numFmtId="1" fontId="229" fillId="12" borderId="64" xfId="0" applyNumberFormat="1" applyFont="1" applyFill="1" applyBorder="1" applyAlignment="1">
      <alignment horizontal="center" vertical="top" wrapText="1"/>
    </xf>
    <xf numFmtId="0" fontId="230" fillId="9" borderId="53" xfId="0" applyFont="1" applyFill="1" applyBorder="1" applyAlignment="1" applyProtection="1">
      <alignment horizontal="center" vertical="top" wrapText="1"/>
      <protection locked="0"/>
    </xf>
    <xf numFmtId="0" fontId="229" fillId="9" borderId="54" xfId="0" applyFont="1" applyFill="1" applyBorder="1" applyAlignment="1" applyProtection="1">
      <alignment horizontal="center" vertical="top" wrapText="1"/>
      <protection locked="0"/>
    </xf>
    <xf numFmtId="0" fontId="229" fillId="9" borderId="55" xfId="0" applyFont="1" applyFill="1" applyBorder="1" applyAlignment="1" applyProtection="1">
      <alignment horizontal="center" vertical="top" wrapText="1"/>
      <protection locked="0"/>
    </xf>
    <xf numFmtId="0" fontId="75" fillId="12" borderId="32" xfId="0" applyFont="1" applyFill="1" applyBorder="1" applyAlignment="1">
      <alignment horizontal="center" vertical="top"/>
    </xf>
    <xf numFmtId="0" fontId="75" fillId="12" borderId="10" xfId="0" applyFont="1" applyFill="1" applyBorder="1" applyAlignment="1">
      <alignment horizontal="center" vertical="top"/>
    </xf>
    <xf numFmtId="1" fontId="75" fillId="12" borderId="34" xfId="0" applyNumberFormat="1" applyFont="1" applyFill="1" applyBorder="1" applyAlignment="1">
      <alignment horizontal="center" vertical="top"/>
    </xf>
    <xf numFmtId="1" fontId="75" fillId="12" borderId="50" xfId="0" applyNumberFormat="1" applyFont="1" applyFill="1" applyBorder="1" applyAlignment="1">
      <alignment horizontal="center" vertical="top"/>
    </xf>
    <xf numFmtId="1" fontId="229" fillId="12" borderId="50" xfId="0" applyNumberFormat="1" applyFont="1" applyFill="1" applyBorder="1" applyAlignment="1">
      <alignment horizontal="center" vertical="top"/>
    </xf>
    <xf numFmtId="166" fontId="229" fillId="12" borderId="50" xfId="0" applyNumberFormat="1" applyFont="1" applyFill="1" applyBorder="1" applyAlignment="1">
      <alignment horizontal="center" vertical="top"/>
    </xf>
    <xf numFmtId="1" fontId="75" fillId="12" borderId="35" xfId="0" applyNumberFormat="1" applyFont="1" applyFill="1" applyBorder="1" applyAlignment="1">
      <alignment horizontal="center" vertical="top"/>
    </xf>
    <xf numFmtId="0" fontId="75" fillId="12" borderId="15" xfId="0" applyFont="1" applyFill="1" applyBorder="1" applyAlignment="1">
      <alignment horizontal="center"/>
    </xf>
    <xf numFmtId="0" fontId="75" fillId="12" borderId="16" xfId="0" applyFont="1" applyFill="1" applyBorder="1" applyAlignment="1">
      <alignment horizontal="center"/>
    </xf>
    <xf numFmtId="0" fontId="75" fillId="12" borderId="17" xfId="0" applyFont="1" applyFill="1" applyBorder="1" applyAlignment="1">
      <alignment horizontal="center"/>
    </xf>
    <xf numFmtId="1" fontId="75" fillId="12" borderId="63" xfId="0" applyNumberFormat="1" applyFont="1" applyFill="1" applyBorder="1" applyAlignment="1">
      <alignment horizontal="center"/>
    </xf>
    <xf numFmtId="1" fontId="75" fillId="12" borderId="59" xfId="0" applyNumberFormat="1" applyFont="1" applyFill="1" applyBorder="1" applyAlignment="1">
      <alignment horizontal="center"/>
    </xf>
    <xf numFmtId="166" fontId="75" fillId="12" borderId="59" xfId="0" applyNumberFormat="1" applyFont="1" applyFill="1" applyBorder="1" applyAlignment="1">
      <alignment horizontal="center"/>
    </xf>
    <xf numFmtId="1" fontId="75" fillId="12" borderId="64" xfId="0" applyNumberFormat="1" applyFont="1" applyFill="1" applyBorder="1" applyAlignment="1">
      <alignment horizontal="center"/>
    </xf>
    <xf numFmtId="0" fontId="207" fillId="9" borderId="0" xfId="258" applyNumberFormat="1" applyFont="1" applyFill="1" applyAlignment="1" applyProtection="1">
      <alignment horizontal="center" vertical="center" wrapText="1"/>
    </xf>
    <xf numFmtId="0" fontId="227" fillId="12" borderId="18" xfId="0" applyFont="1" applyFill="1" applyBorder="1" applyAlignment="1">
      <alignment horizontal="right" vertical="top"/>
    </xf>
    <xf numFmtId="9" fontId="227" fillId="12" borderId="3" xfId="8" applyFont="1" applyFill="1" applyBorder="1" applyAlignment="1" applyProtection="1">
      <alignment horizontal="left" vertical="top"/>
    </xf>
    <xf numFmtId="0" fontId="0" fillId="0" borderId="18" xfId="0" applyBorder="1" applyAlignment="1">
      <alignment vertical="top"/>
    </xf>
    <xf numFmtId="0" fontId="0" fillId="19" borderId="18" xfId="0" applyFill="1" applyBorder="1" applyAlignment="1">
      <alignment vertical="top"/>
    </xf>
    <xf numFmtId="0" fontId="11" fillId="13" borderId="65" xfId="0" applyFont="1" applyFill="1" applyBorder="1" applyAlignment="1">
      <alignment horizontal="justify" vertical="top" wrapText="1"/>
    </xf>
    <xf numFmtId="0" fontId="11" fillId="14" borderId="66" xfId="0" applyFont="1" applyFill="1" applyBorder="1" applyAlignment="1">
      <alignment horizontal="justify" vertical="top" wrapText="1"/>
    </xf>
    <xf numFmtId="0" fontId="25" fillId="3" borderId="51" xfId="0" applyFont="1" applyFill="1" applyBorder="1" applyAlignment="1">
      <alignment horizontal="left" vertical="top" wrapText="1"/>
    </xf>
    <xf numFmtId="0" fontId="198" fillId="12" borderId="10" xfId="9" applyNumberFormat="1" applyFont="1" applyFill="1" applyBorder="1" applyAlignment="1" applyProtection="1">
      <alignment horizontal="left"/>
    </xf>
    <xf numFmtId="3" fontId="75" fillId="12" borderId="50" xfId="0" applyNumberFormat="1" applyFont="1" applyFill="1" applyBorder="1" applyAlignment="1">
      <alignment horizontal="center"/>
    </xf>
    <xf numFmtId="3" fontId="75" fillId="12" borderId="35" xfId="0" applyNumberFormat="1" applyFont="1" applyFill="1" applyBorder="1" applyAlignment="1">
      <alignment horizontal="center"/>
    </xf>
    <xf numFmtId="0" fontId="0" fillId="12" borderId="16" xfId="0" applyFill="1" applyBorder="1" applyAlignment="1">
      <alignment vertical="center" wrapText="1"/>
    </xf>
    <xf numFmtId="0" fontId="152" fillId="12" borderId="16" xfId="0" applyFont="1" applyFill="1" applyBorder="1" applyAlignment="1">
      <alignment horizontal="left" vertical="center"/>
    </xf>
    <xf numFmtId="0" fontId="152" fillId="12" borderId="16" xfId="0" applyFont="1" applyFill="1" applyBorder="1" applyAlignment="1">
      <alignment horizontal="right" vertical="center"/>
    </xf>
    <xf numFmtId="0" fontId="0" fillId="12" borderId="17" xfId="0" applyFill="1" applyBorder="1" applyAlignment="1">
      <alignment horizontal="center" vertical="center"/>
    </xf>
    <xf numFmtId="3" fontId="0" fillId="12" borderId="63" xfId="0" applyNumberFormat="1" applyFill="1" applyBorder="1" applyAlignment="1">
      <alignment horizontal="center" vertical="center"/>
    </xf>
    <xf numFmtId="3" fontId="0" fillId="12" borderId="59" xfId="0" applyNumberFormat="1" applyFill="1" applyBorder="1" applyAlignment="1">
      <alignment horizontal="center" vertical="center"/>
    </xf>
    <xf numFmtId="3" fontId="0" fillId="12" borderId="64" xfId="0" applyNumberFormat="1" applyFill="1" applyBorder="1" applyAlignment="1">
      <alignment horizontal="center" vertical="center"/>
    </xf>
    <xf numFmtId="0" fontId="218" fillId="0" borderId="16" xfId="0" applyFont="1" applyBorder="1" applyAlignment="1">
      <alignment vertical="center" wrapText="1"/>
    </xf>
    <xf numFmtId="0" fontId="90" fillId="13" borderId="63" xfId="0" applyFont="1" applyFill="1" applyBorder="1" applyAlignment="1">
      <alignment vertical="center" wrapText="1"/>
    </xf>
    <xf numFmtId="0" fontId="90" fillId="14" borderId="59" xfId="0" applyFont="1" applyFill="1" applyBorder="1" applyAlignment="1">
      <alignment vertical="center" wrapText="1"/>
    </xf>
    <xf numFmtId="0" fontId="94" fillId="0" borderId="63" xfId="0" applyFont="1" applyBorder="1" applyAlignment="1">
      <alignment vertical="center" wrapText="1"/>
    </xf>
    <xf numFmtId="0" fontId="90" fillId="0" borderId="59" xfId="0" applyFont="1" applyBorder="1" applyAlignment="1">
      <alignment vertical="center" wrapText="1"/>
    </xf>
    <xf numFmtId="0" fontId="0" fillId="12" borderId="16" xfId="0" applyFill="1" applyBorder="1" applyAlignment="1">
      <alignment vertical="top" wrapText="1"/>
    </xf>
    <xf numFmtId="0" fontId="170" fillId="7" borderId="54" xfId="0" applyFont="1" applyFill="1" applyBorder="1" applyAlignment="1">
      <alignment horizontal="center" vertical="center" wrapText="1"/>
    </xf>
    <xf numFmtId="1" fontId="131" fillId="12" borderId="59" xfId="0" applyNumberFormat="1" applyFont="1" applyFill="1" applyBorder="1" applyAlignment="1">
      <alignment horizontal="center" vertical="center" wrapText="1"/>
    </xf>
    <xf numFmtId="0" fontId="9" fillId="12" borderId="0" xfId="0" applyFont="1" applyFill="1" applyAlignment="1">
      <alignment horizontal="center" vertical="top"/>
    </xf>
    <xf numFmtId="0" fontId="209" fillId="0" borderId="0" xfId="0" applyFont="1"/>
    <xf numFmtId="0" fontId="209" fillId="12" borderId="0" xfId="0" applyFont="1" applyFill="1" applyProtection="1">
      <protection locked="0"/>
    </xf>
    <xf numFmtId="0" fontId="0" fillId="12" borderId="17" xfId="0" applyFill="1" applyBorder="1" applyAlignment="1" applyProtection="1">
      <alignment horizontal="center" vertical="center"/>
      <protection locked="0"/>
    </xf>
    <xf numFmtId="166" fontId="60" fillId="7" borderId="0" xfId="258" applyNumberFormat="1" applyFill="1" applyBorder="1" applyAlignment="1" applyProtection="1">
      <alignment horizontal="left" vertical="center" indent="3"/>
      <protection locked="0"/>
    </xf>
    <xf numFmtId="0" fontId="227" fillId="12" borderId="18" xfId="0" applyFont="1" applyFill="1" applyBorder="1" applyAlignment="1">
      <alignment horizontal="right" vertical="top" wrapText="1"/>
    </xf>
    <xf numFmtId="0" fontId="152" fillId="0" borderId="0" xfId="0" applyFont="1" applyAlignment="1">
      <alignment wrapText="1"/>
    </xf>
    <xf numFmtId="168" fontId="231" fillId="15" borderId="0" xfId="8" applyNumberFormat="1" applyFont="1" applyFill="1" applyAlignment="1" applyProtection="1">
      <alignment horizontal="center" vertical="center" wrapText="1"/>
    </xf>
    <xf numFmtId="0" fontId="231" fillId="15" borderId="0" xfId="8" applyNumberFormat="1" applyFont="1" applyFill="1" applyAlignment="1" applyProtection="1">
      <alignment horizontal="center" vertical="center" wrapText="1"/>
    </xf>
    <xf numFmtId="0" fontId="183" fillId="0" borderId="0" xfId="0" applyFont="1" applyAlignment="1">
      <alignment vertical="center" wrapText="1"/>
    </xf>
    <xf numFmtId="0" fontId="156" fillId="0" borderId="0" xfId="0" applyFont="1" applyAlignment="1">
      <alignment horizontal="left" wrapText="1" indent="1"/>
    </xf>
    <xf numFmtId="0" fontId="102" fillId="3" borderId="51" xfId="0" applyFont="1" applyFill="1" applyBorder="1" applyAlignment="1">
      <alignment horizontal="left" vertical="top" wrapText="1"/>
    </xf>
    <xf numFmtId="174" fontId="0" fillId="13" borderId="0" xfId="0" applyNumberFormat="1" applyFill="1" applyAlignment="1">
      <alignment horizontal="right" vertical="center"/>
    </xf>
    <xf numFmtId="20" fontId="154" fillId="7" borderId="68" xfId="0" applyNumberFormat="1" applyFont="1" applyFill="1" applyBorder="1" applyAlignment="1" applyProtection="1">
      <alignment horizontal="right" vertical="center"/>
      <protection locked="0"/>
    </xf>
    <xf numFmtId="20" fontId="154" fillId="7" borderId="69" xfId="0" applyNumberFormat="1" applyFont="1" applyFill="1" applyBorder="1" applyAlignment="1" applyProtection="1">
      <alignment horizontal="right" vertical="center"/>
      <protection locked="0"/>
    </xf>
    <xf numFmtId="20" fontId="232" fillId="0" borderId="0" xfId="0" applyNumberFormat="1" applyFont="1" applyAlignment="1">
      <alignment horizontal="right"/>
    </xf>
    <xf numFmtId="0" fontId="232" fillId="0" borderId="0" xfId="0" applyFont="1"/>
    <xf numFmtId="175" fontId="154" fillId="0" borderId="68" xfId="0" applyNumberFormat="1" applyFont="1" applyBorder="1" applyAlignment="1">
      <alignment horizontal="right"/>
    </xf>
    <xf numFmtId="0" fontId="227" fillId="12" borderId="0" xfId="0" applyFont="1" applyFill="1" applyAlignment="1">
      <alignment horizontal="right" vertical="top"/>
    </xf>
    <xf numFmtId="9" fontId="227" fillId="12" borderId="10" xfId="8" applyFont="1" applyFill="1" applyBorder="1" applyAlignment="1" applyProtection="1">
      <alignment horizontal="left" vertical="top"/>
    </xf>
    <xf numFmtId="173" fontId="228" fillId="12" borderId="34" xfId="9" applyNumberFormat="1" applyFont="1" applyFill="1" applyBorder="1" applyAlignment="1" applyProtection="1">
      <alignment horizontal="center" vertical="top"/>
    </xf>
    <xf numFmtId="173" fontId="228" fillId="12" borderId="50" xfId="9" applyNumberFormat="1" applyFont="1" applyFill="1" applyBorder="1" applyAlignment="1" applyProtection="1">
      <alignment horizontal="center" vertical="top"/>
    </xf>
    <xf numFmtId="173" fontId="228" fillId="12" borderId="35" xfId="9" applyNumberFormat="1" applyFont="1" applyFill="1" applyBorder="1" applyAlignment="1" applyProtection="1">
      <alignment horizontal="center" vertical="top"/>
    </xf>
    <xf numFmtId="0" fontId="11" fillId="13" borderId="34" xfId="0" applyFont="1" applyFill="1" applyBorder="1" applyAlignment="1">
      <alignment horizontal="justify" vertical="top" wrapText="1"/>
    </xf>
    <xf numFmtId="0" fontId="11" fillId="14" borderId="50" xfId="0" applyFont="1" applyFill="1" applyBorder="1" applyAlignment="1">
      <alignment horizontal="justify" vertical="top" wrapText="1"/>
    </xf>
    <xf numFmtId="0" fontId="25" fillId="3" borderId="35" xfId="0" applyFont="1" applyFill="1" applyBorder="1" applyAlignment="1">
      <alignment horizontal="left" vertical="top" wrapText="1"/>
    </xf>
    <xf numFmtId="3" fontId="109" fillId="12" borderId="59" xfId="0" applyNumberFormat="1" applyFont="1" applyFill="1" applyBorder="1" applyAlignment="1">
      <alignment horizontal="center" vertical="center"/>
    </xf>
    <xf numFmtId="173" fontId="181" fillId="12" borderId="65" xfId="9" applyNumberFormat="1" applyFont="1" applyFill="1" applyBorder="1" applyAlignment="1" applyProtection="1">
      <alignment horizontal="center" vertical="top"/>
    </xf>
    <xf numFmtId="173" fontId="181" fillId="12" borderId="66" xfId="9" applyNumberFormat="1" applyFont="1" applyFill="1" applyBorder="1" applyAlignment="1" applyProtection="1">
      <alignment horizontal="center" vertical="top"/>
    </xf>
    <xf numFmtId="173" fontId="233" fillId="12" borderId="66" xfId="9" applyNumberFormat="1" applyFont="1" applyFill="1" applyBorder="1" applyAlignment="1" applyProtection="1">
      <alignment horizontal="center" vertical="top"/>
    </xf>
    <xf numFmtId="173" fontId="181" fillId="12" borderId="51" xfId="9" applyNumberFormat="1" applyFont="1" applyFill="1" applyBorder="1" applyAlignment="1" applyProtection="1">
      <alignment horizontal="center" vertical="top"/>
    </xf>
    <xf numFmtId="0" fontId="234" fillId="12" borderId="0" xfId="0" applyFont="1" applyFill="1" applyAlignment="1">
      <alignment wrapText="1"/>
    </xf>
    <xf numFmtId="0" fontId="235" fillId="12" borderId="0" xfId="0" applyFont="1" applyFill="1" applyAlignment="1">
      <alignment wrapText="1"/>
    </xf>
    <xf numFmtId="0" fontId="224" fillId="12" borderId="0" xfId="0" applyFont="1" applyFill="1" applyAlignment="1">
      <alignment horizontal="right"/>
    </xf>
    <xf numFmtId="0" fontId="224" fillId="12" borderId="10" xfId="0" applyFont="1" applyFill="1" applyBorder="1" applyAlignment="1">
      <alignment horizontal="center"/>
    </xf>
    <xf numFmtId="1" fontId="234" fillId="12" borderId="50" xfId="0" applyNumberFormat="1" applyFont="1" applyFill="1" applyBorder="1" applyAlignment="1">
      <alignment horizontal="center"/>
    </xf>
    <xf numFmtId="1" fontId="234" fillId="12" borderId="35" xfId="0" applyNumberFormat="1" applyFont="1" applyFill="1" applyBorder="1" applyAlignment="1">
      <alignment horizontal="center"/>
    </xf>
    <xf numFmtId="0" fontId="234" fillId="12" borderId="18" xfId="0" applyFont="1" applyFill="1" applyBorder="1" applyAlignment="1">
      <alignment wrapText="1"/>
    </xf>
    <xf numFmtId="0" fontId="224" fillId="12" borderId="18" xfId="0" applyFont="1" applyFill="1" applyBorder="1" applyAlignment="1">
      <alignment horizontal="left"/>
    </xf>
    <xf numFmtId="0" fontId="224" fillId="12" borderId="18" xfId="0" applyFont="1" applyFill="1" applyBorder="1" applyAlignment="1">
      <alignment horizontal="right"/>
    </xf>
    <xf numFmtId="0" fontId="224" fillId="12" borderId="3" xfId="0" applyFont="1" applyFill="1" applyBorder="1" applyAlignment="1">
      <alignment horizontal="center"/>
    </xf>
    <xf numFmtId="168" fontId="234" fillId="12" borderId="65" xfId="0" applyNumberFormat="1" applyFont="1" applyFill="1" applyBorder="1" applyAlignment="1">
      <alignment horizontal="center"/>
    </xf>
    <xf numFmtId="168" fontId="234" fillId="12" borderId="66" xfId="0" applyNumberFormat="1" applyFont="1" applyFill="1" applyBorder="1" applyAlignment="1">
      <alignment horizontal="center"/>
    </xf>
    <xf numFmtId="168" fontId="234" fillId="12" borderId="51" xfId="0" applyNumberFormat="1" applyFont="1" applyFill="1" applyBorder="1" applyAlignment="1">
      <alignment horizontal="center"/>
    </xf>
    <xf numFmtId="0" fontId="236" fillId="12" borderId="0" xfId="0" applyFont="1" applyFill="1" applyAlignment="1">
      <alignment horizontal="left"/>
    </xf>
    <xf numFmtId="0" fontId="236" fillId="12" borderId="0" xfId="0" applyFont="1" applyFill="1" applyAlignment="1">
      <alignment horizontal="right"/>
    </xf>
    <xf numFmtId="9" fontId="236" fillId="12" borderId="10" xfId="8" applyFont="1" applyFill="1" applyBorder="1" applyAlignment="1" applyProtection="1">
      <alignment horizontal="left"/>
    </xf>
    <xf numFmtId="168" fontId="234" fillId="12" borderId="34" xfId="0" applyNumberFormat="1" applyFont="1" applyFill="1" applyBorder="1" applyAlignment="1">
      <alignment horizontal="center"/>
    </xf>
    <xf numFmtId="168" fontId="234" fillId="12" borderId="50" xfId="0" applyNumberFormat="1" applyFont="1" applyFill="1" applyBorder="1" applyAlignment="1">
      <alignment horizontal="center"/>
    </xf>
    <xf numFmtId="0" fontId="236" fillId="12" borderId="18" xfId="0" applyFont="1" applyFill="1" applyBorder="1" applyAlignment="1">
      <alignment horizontal="left"/>
    </xf>
    <xf numFmtId="0" fontId="236" fillId="12" borderId="18" xfId="0" applyFont="1" applyFill="1" applyBorder="1" applyAlignment="1">
      <alignment horizontal="right"/>
    </xf>
    <xf numFmtId="0" fontId="234" fillId="12" borderId="3" xfId="0" applyFont="1" applyFill="1" applyBorder="1" applyAlignment="1">
      <alignment horizontal="left"/>
    </xf>
    <xf numFmtId="168" fontId="235" fillId="12" borderId="65" xfId="0" applyNumberFormat="1" applyFont="1" applyFill="1" applyBorder="1" applyAlignment="1">
      <alignment horizontal="center"/>
    </xf>
    <xf numFmtId="168" fontId="235" fillId="12" borderId="66" xfId="0" applyNumberFormat="1" applyFont="1" applyFill="1" applyBorder="1" applyAlignment="1">
      <alignment horizontal="center"/>
    </xf>
    <xf numFmtId="0" fontId="227" fillId="12" borderId="0" xfId="0" applyFont="1" applyFill="1" applyAlignment="1">
      <alignment horizontal="left"/>
    </xf>
    <xf numFmtId="0" fontId="198" fillId="12" borderId="10" xfId="0" applyFont="1" applyFill="1" applyBorder="1" applyAlignment="1">
      <alignment horizontal="center"/>
    </xf>
    <xf numFmtId="168" fontId="219" fillId="12" borderId="34" xfId="0" applyNumberFormat="1" applyFont="1" applyFill="1" applyBorder="1" applyAlignment="1">
      <alignment horizontal="center"/>
    </xf>
    <xf numFmtId="168" fontId="219" fillId="12" borderId="50" xfId="0" applyNumberFormat="1" applyFont="1" applyFill="1" applyBorder="1" applyAlignment="1">
      <alignment horizontal="center"/>
    </xf>
    <xf numFmtId="168" fontId="219" fillId="12" borderId="35" xfId="0" applyNumberFormat="1" applyFont="1" applyFill="1" applyBorder="1" applyAlignment="1">
      <alignment horizontal="center"/>
    </xf>
    <xf numFmtId="0" fontId="227" fillId="12" borderId="0" xfId="0" applyFont="1" applyFill="1" applyAlignment="1">
      <alignment horizontal="right"/>
    </xf>
    <xf numFmtId="0" fontId="219" fillId="12" borderId="10" xfId="0" applyFont="1" applyFill="1" applyBorder="1" applyAlignment="1">
      <alignment horizontal="center"/>
    </xf>
    <xf numFmtId="0" fontId="152" fillId="12" borderId="4" xfId="0" applyFont="1" applyFill="1" applyBorder="1" applyAlignment="1">
      <alignment vertical="top" wrapText="1"/>
    </xf>
    <xf numFmtId="0" fontId="181" fillId="12" borderId="0" xfId="0" applyFont="1" applyFill="1" applyAlignment="1">
      <alignment horizontal="left"/>
    </xf>
    <xf numFmtId="0" fontId="181" fillId="12" borderId="0" xfId="0" applyFont="1" applyFill="1" applyAlignment="1">
      <alignment horizontal="right"/>
    </xf>
    <xf numFmtId="0" fontId="200" fillId="12" borderId="10" xfId="0" applyFont="1" applyFill="1" applyBorder="1" applyAlignment="1">
      <alignment horizontal="center"/>
    </xf>
    <xf numFmtId="168" fontId="171" fillId="12" borderId="34" xfId="0" applyNumberFormat="1" applyFont="1" applyFill="1" applyBorder="1" applyAlignment="1">
      <alignment horizontal="center"/>
    </xf>
    <xf numFmtId="168" fontId="171" fillId="12" borderId="50" xfId="0" applyNumberFormat="1" applyFont="1" applyFill="1" applyBorder="1" applyAlignment="1">
      <alignment horizontal="center"/>
    </xf>
    <xf numFmtId="168" fontId="171" fillId="12" borderId="35" xfId="0" applyNumberFormat="1" applyFont="1" applyFill="1" applyBorder="1" applyAlignment="1">
      <alignment horizontal="center"/>
    </xf>
    <xf numFmtId="0" fontId="237" fillId="12" borderId="0" xfId="0" applyFont="1" applyFill="1" applyAlignment="1">
      <alignment wrapText="1"/>
    </xf>
    <xf numFmtId="0" fontId="234" fillId="12" borderId="10" xfId="0" applyFont="1" applyFill="1" applyBorder="1" applyAlignment="1">
      <alignment horizontal="center"/>
    </xf>
    <xf numFmtId="168" fontId="234" fillId="12" borderId="35" xfId="0" applyNumberFormat="1" applyFont="1" applyFill="1" applyBorder="1" applyAlignment="1">
      <alignment horizontal="center"/>
    </xf>
    <xf numFmtId="0" fontId="220" fillId="12" borderId="0" xfId="0" applyFont="1" applyFill="1" applyAlignment="1">
      <alignment wrapText="1"/>
    </xf>
    <xf numFmtId="168" fontId="219" fillId="12" borderId="34" xfId="8" applyNumberFormat="1" applyFont="1" applyFill="1" applyBorder="1" applyAlignment="1" applyProtection="1">
      <alignment horizontal="center"/>
    </xf>
    <xf numFmtId="168" fontId="219" fillId="12" borderId="50" xfId="8" applyNumberFormat="1" applyFont="1" applyFill="1" applyBorder="1" applyAlignment="1" applyProtection="1">
      <alignment horizontal="center"/>
    </xf>
    <xf numFmtId="168" fontId="219" fillId="12" borderId="35" xfId="8" applyNumberFormat="1" applyFont="1" applyFill="1" applyBorder="1" applyAlignment="1" applyProtection="1">
      <alignment horizontal="center"/>
    </xf>
    <xf numFmtId="168" fontId="220" fillId="12" borderId="34" xfId="8" applyNumberFormat="1" applyFont="1" applyFill="1" applyBorder="1" applyAlignment="1" applyProtection="1">
      <alignment horizontal="center"/>
    </xf>
    <xf numFmtId="168" fontId="220" fillId="12" borderId="50" xfId="8" applyNumberFormat="1" applyFont="1" applyFill="1" applyBorder="1" applyAlignment="1" applyProtection="1">
      <alignment horizontal="center"/>
    </xf>
    <xf numFmtId="168" fontId="220" fillId="12" borderId="35" xfId="8" applyNumberFormat="1" applyFont="1" applyFill="1" applyBorder="1" applyAlignment="1" applyProtection="1">
      <alignment horizontal="center"/>
    </xf>
    <xf numFmtId="0" fontId="0" fillId="0" borderId="18" xfId="0" applyBorder="1" applyAlignment="1">
      <alignment horizontal="center" vertical="top" wrapText="1"/>
    </xf>
    <xf numFmtId="0" fontId="0" fillId="0" borderId="18" xfId="0" applyBorder="1" applyAlignment="1">
      <alignment horizontal="center"/>
    </xf>
    <xf numFmtId="0" fontId="0" fillId="0" borderId="16" xfId="0" applyBorder="1" applyAlignment="1">
      <alignment horizontal="center" vertical="center"/>
    </xf>
    <xf numFmtId="0" fontId="0" fillId="0" borderId="16" xfId="0" applyBorder="1" applyAlignment="1">
      <alignment horizontal="center"/>
    </xf>
    <xf numFmtId="0" fontId="0" fillId="0" borderId="20" xfId="0" applyBorder="1" applyAlignment="1">
      <alignment horizontal="center" vertical="center"/>
    </xf>
    <xf numFmtId="0" fontId="0" fillId="0" borderId="0" xfId="0" applyAlignment="1">
      <alignment horizontal="center" vertical="top"/>
    </xf>
    <xf numFmtId="0" fontId="0" fillId="0" borderId="18" xfId="0" applyBorder="1" applyAlignment="1">
      <alignment horizontal="center" vertical="top"/>
    </xf>
    <xf numFmtId="20" fontId="0" fillId="0" borderId="0" xfId="0" applyNumberFormat="1" applyAlignment="1">
      <alignment horizontal="center"/>
    </xf>
    <xf numFmtId="20" fontId="0" fillId="0" borderId="18" xfId="0" applyNumberFormat="1" applyBorder="1" applyAlignment="1">
      <alignment horizontal="center"/>
    </xf>
    <xf numFmtId="0" fontId="75" fillId="0" borderId="16" xfId="0" applyFont="1" applyBorder="1" applyAlignment="1">
      <alignment horizontal="center"/>
    </xf>
    <xf numFmtId="20" fontId="75" fillId="0" borderId="0" xfId="0" applyNumberFormat="1" applyFont="1" applyAlignment="1">
      <alignment horizontal="center"/>
    </xf>
    <xf numFmtId="20" fontId="75" fillId="0" borderId="18" xfId="0" applyNumberFormat="1" applyFont="1" applyBorder="1" applyAlignment="1">
      <alignment horizontal="center"/>
    </xf>
    <xf numFmtId="0" fontId="234" fillId="12" borderId="0" xfId="0" applyFont="1" applyFill="1" applyAlignment="1">
      <alignment horizontal="right"/>
    </xf>
    <xf numFmtId="0" fontId="234" fillId="12" borderId="0" xfId="0" applyFont="1" applyFill="1" applyAlignment="1">
      <alignment horizontal="left"/>
    </xf>
    <xf numFmtId="0" fontId="235" fillId="12" borderId="10" xfId="0" applyFont="1" applyFill="1" applyBorder="1" applyAlignment="1">
      <alignment horizontal="center"/>
    </xf>
    <xf numFmtId="37" fontId="234" fillId="12" borderId="50" xfId="9" applyNumberFormat="1" applyFont="1" applyFill="1" applyBorder="1" applyAlignment="1" applyProtection="1">
      <alignment horizontal="center"/>
    </xf>
    <xf numFmtId="37" fontId="234" fillId="12" borderId="35" xfId="9" applyNumberFormat="1" applyFont="1" applyFill="1" applyBorder="1" applyAlignment="1" applyProtection="1">
      <alignment horizontal="center"/>
    </xf>
    <xf numFmtId="0" fontId="232" fillId="0" borderId="0" xfId="0" applyFont="1" applyAlignment="1">
      <alignment horizontal="left" wrapText="1" indent="1"/>
    </xf>
    <xf numFmtId="0" fontId="238" fillId="12" borderId="15" xfId="0" applyFont="1" applyFill="1" applyBorder="1" applyAlignment="1">
      <alignment vertical="top"/>
    </xf>
    <xf numFmtId="0" fontId="238" fillId="12" borderId="15" xfId="0" applyFont="1" applyFill="1" applyBorder="1" applyAlignment="1">
      <alignment vertical="center"/>
    </xf>
    <xf numFmtId="0" fontId="191" fillId="0" borderId="0" xfId="0" applyFont="1" applyAlignment="1">
      <alignment wrapText="1"/>
    </xf>
    <xf numFmtId="0" fontId="239" fillId="0" borderId="0" xfId="0" applyFont="1" applyAlignment="1">
      <alignment horizontal="right"/>
    </xf>
    <xf numFmtId="0" fontId="3" fillId="0" borderId="0" xfId="0" applyFont="1" applyAlignment="1">
      <alignment horizontal="left"/>
    </xf>
    <xf numFmtId="0" fontId="191" fillId="0" borderId="0" xfId="0" applyFont="1" applyAlignment="1">
      <alignment horizontal="right"/>
    </xf>
    <xf numFmtId="0" fontId="240" fillId="0" borderId="0" xfId="0" applyFont="1" applyAlignment="1">
      <alignment horizontal="center"/>
    </xf>
    <xf numFmtId="0" fontId="191" fillId="0" borderId="0" xfId="0" applyFont="1" applyAlignment="1">
      <alignment horizontal="center"/>
    </xf>
    <xf numFmtId="0" fontId="3" fillId="0" borderId="0" xfId="0" applyFont="1" applyAlignment="1">
      <alignment horizontal="center"/>
    </xf>
    <xf numFmtId="0" fontId="241" fillId="0" borderId="16" xfId="0" applyFont="1" applyBorder="1" applyAlignment="1">
      <alignment horizontal="right"/>
    </xf>
    <xf numFmtId="0" fontId="242" fillId="0" borderId="0" xfId="0" applyFont="1" applyAlignment="1">
      <alignment horizontal="left"/>
    </xf>
    <xf numFmtId="0" fontId="163" fillId="0" borderId="0" xfId="0" applyFont="1" applyAlignment="1">
      <alignment horizontal="center" vertical="top" wrapText="1"/>
    </xf>
    <xf numFmtId="2" fontId="154" fillId="0" borderId="68" xfId="0" applyNumberFormat="1" applyFont="1" applyBorder="1" applyAlignment="1">
      <alignment horizontal="right"/>
    </xf>
    <xf numFmtId="0" fontId="235" fillId="0" borderId="0" xfId="0" applyFont="1" applyAlignment="1">
      <alignment horizontal="center" vertical="top" wrapText="1"/>
    </xf>
    <xf numFmtId="0" fontId="235" fillId="0" borderId="0" xfId="0" applyFont="1" applyAlignment="1">
      <alignment horizontal="center" wrapText="1"/>
    </xf>
    <xf numFmtId="0" fontId="235" fillId="0" borderId="0" xfId="0" applyFont="1" applyAlignment="1">
      <alignment horizontal="center" vertical="center" wrapText="1"/>
    </xf>
    <xf numFmtId="20" fontId="235" fillId="0" borderId="0" xfId="0" applyNumberFormat="1" applyFont="1" applyAlignment="1">
      <alignment horizontal="center" wrapText="1"/>
    </xf>
    <xf numFmtId="0" fontId="235" fillId="0" borderId="0" xfId="0" applyFont="1" applyAlignment="1">
      <alignment horizontal="center"/>
    </xf>
    <xf numFmtId="9" fontId="150" fillId="0" borderId="0" xfId="8" applyFont="1" applyFill="1" applyAlignment="1" applyProtection="1">
      <alignment horizontal="center"/>
    </xf>
    <xf numFmtId="0" fontId="75" fillId="0" borderId="0" xfId="0" applyFont="1" applyAlignment="1">
      <alignment horizontal="left" vertical="center" wrapText="1" indent="3"/>
    </xf>
    <xf numFmtId="168" fontId="75" fillId="0" borderId="0" xfId="0" applyNumberFormat="1" applyFont="1" applyAlignment="1">
      <alignment horizontal="right" vertical="center"/>
    </xf>
    <xf numFmtId="168" fontId="0" fillId="11" borderId="15" xfId="0" applyNumberFormat="1" applyFill="1" applyBorder="1" applyAlignment="1">
      <alignment horizontal="right" vertical="center"/>
    </xf>
    <xf numFmtId="0" fontId="3" fillId="0" borderId="0" xfId="0" applyFont="1" applyAlignment="1">
      <alignment horizontal="left" vertical="center" wrapText="1" indent="1"/>
    </xf>
    <xf numFmtId="168" fontId="3" fillId="0" borderId="0" xfId="0" applyNumberFormat="1" applyFont="1" applyAlignment="1">
      <alignment horizontal="right" vertical="center"/>
    </xf>
    <xf numFmtId="0" fontId="186" fillId="0" borderId="0" xfId="0" applyFont="1" applyAlignment="1">
      <alignment vertical="top" wrapText="1"/>
    </xf>
    <xf numFmtId="0" fontId="0" fillId="0" borderId="0" xfId="0" applyAlignment="1">
      <alignment horizontal="right" wrapText="1"/>
    </xf>
    <xf numFmtId="165" fontId="171" fillId="15" borderId="0" xfId="9" applyFont="1" applyFill="1" applyAlignment="1" applyProtection="1">
      <alignment horizontal="center" wrapText="1"/>
    </xf>
    <xf numFmtId="0" fontId="245" fillId="0" borderId="0" xfId="0" applyFont="1" applyAlignment="1">
      <alignment horizontal="center" vertical="top" wrapText="1"/>
    </xf>
    <xf numFmtId="0" fontId="2" fillId="0" borderId="0" xfId="0" applyFont="1" applyAlignment="1">
      <alignment horizontal="left" vertical="center" wrapText="1" indent="2"/>
    </xf>
    <xf numFmtId="168" fontId="0" fillId="11" borderId="0" xfId="0" applyNumberFormat="1" applyFill="1" applyAlignment="1">
      <alignment horizontal="right" vertical="center"/>
    </xf>
    <xf numFmtId="168" fontId="0" fillId="11" borderId="10" xfId="0" applyNumberFormat="1" applyFill="1" applyBorder="1" applyAlignment="1">
      <alignment horizontal="right" vertical="center"/>
    </xf>
    <xf numFmtId="168" fontId="0" fillId="11" borderId="18" xfId="0" applyNumberFormat="1" applyFill="1" applyBorder="1" applyAlignment="1">
      <alignment horizontal="right" vertical="center"/>
    </xf>
    <xf numFmtId="168" fontId="0" fillId="11" borderId="3" xfId="0" applyNumberFormat="1" applyFill="1" applyBorder="1" applyAlignment="1">
      <alignment horizontal="right" vertical="center"/>
    </xf>
    <xf numFmtId="168" fontId="75" fillId="11" borderId="4" xfId="0" applyNumberFormat="1" applyFont="1" applyFill="1" applyBorder="1" applyAlignment="1">
      <alignment horizontal="right" vertical="center"/>
    </xf>
    <xf numFmtId="168" fontId="75" fillId="11" borderId="18" xfId="0" applyNumberFormat="1" applyFont="1" applyFill="1" applyBorder="1" applyAlignment="1">
      <alignment horizontal="right" vertical="center"/>
    </xf>
    <xf numFmtId="168" fontId="75" fillId="11" borderId="3" xfId="0" applyNumberFormat="1" applyFont="1" applyFill="1" applyBorder="1" applyAlignment="1">
      <alignment horizontal="right" vertical="center"/>
    </xf>
    <xf numFmtId="168" fontId="0" fillId="11" borderId="16" xfId="0" applyNumberFormat="1" applyFill="1" applyBorder="1" applyAlignment="1">
      <alignment horizontal="right" vertical="center"/>
    </xf>
    <xf numFmtId="168" fontId="0" fillId="11" borderId="17" xfId="0" applyNumberFormat="1" applyFill="1" applyBorder="1" applyAlignment="1">
      <alignment horizontal="right" vertical="center"/>
    </xf>
    <xf numFmtId="168" fontId="0" fillId="11" borderId="19" xfId="0" applyNumberFormat="1" applyFill="1" applyBorder="1" applyAlignment="1">
      <alignment horizontal="right" vertical="center"/>
    </xf>
    <xf numFmtId="168" fontId="0" fillId="11" borderId="20" xfId="0" applyNumberFormat="1" applyFill="1" applyBorder="1" applyAlignment="1">
      <alignment horizontal="right" vertical="center"/>
    </xf>
    <xf numFmtId="168" fontId="0" fillId="11" borderId="21" xfId="0" applyNumberFormat="1" applyFill="1" applyBorder="1" applyAlignment="1">
      <alignment horizontal="right" vertical="center"/>
    </xf>
    <xf numFmtId="0" fontId="45" fillId="0" borderId="0" xfId="0" applyFont="1" applyAlignment="1">
      <alignment vertical="top" wrapText="1"/>
    </xf>
    <xf numFmtId="0" fontId="8" fillId="13" borderId="36" xfId="0" applyFont="1" applyFill="1" applyBorder="1" applyAlignment="1">
      <alignment horizontal="justify" vertical="top" wrapText="1"/>
    </xf>
    <xf numFmtId="0" fontId="8" fillId="14" borderId="1" xfId="0" applyFont="1" applyFill="1" applyBorder="1" applyAlignment="1">
      <alignment horizontal="justify" vertical="top" wrapText="1"/>
    </xf>
    <xf numFmtId="0" fontId="102" fillId="3" borderId="35" xfId="0" applyFont="1" applyFill="1" applyBorder="1" applyAlignment="1">
      <alignment vertical="top" wrapText="1"/>
    </xf>
    <xf numFmtId="0" fontId="33" fillId="8"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49" fontId="43" fillId="2" borderId="2" xfId="0" applyNumberFormat="1" applyFont="1" applyFill="1" applyBorder="1" applyAlignment="1">
      <alignment vertical="center" wrapText="1"/>
    </xf>
    <xf numFmtId="0" fontId="20" fillId="0" borderId="2" xfId="0" applyFont="1" applyBorder="1" applyAlignment="1">
      <alignment horizontal="justify" vertical="center" wrapText="1"/>
    </xf>
    <xf numFmtId="0" fontId="20" fillId="0" borderId="2" xfId="0" applyFont="1" applyBorder="1" applyAlignment="1">
      <alignment vertical="center" wrapText="1"/>
    </xf>
    <xf numFmtId="0" fontId="28" fillId="4" borderId="8" xfId="0" applyFont="1" applyFill="1" applyBorder="1" applyAlignment="1">
      <alignment horizontal="center" vertical="top" wrapText="1"/>
    </xf>
    <xf numFmtId="49" fontId="43" fillId="2" borderId="8" xfId="0" applyNumberFormat="1" applyFont="1" applyFill="1" applyBorder="1" applyAlignment="1">
      <alignment vertical="top" wrapText="1"/>
    </xf>
    <xf numFmtId="0" fontId="20" fillId="0" borderId="8" xfId="0" applyFont="1" applyBorder="1" applyAlignment="1">
      <alignment horizontal="justify" vertical="top" wrapText="1"/>
    </xf>
    <xf numFmtId="0" fontId="20" fillId="0" borderId="8" xfId="0" applyFont="1" applyBorder="1" applyAlignment="1">
      <alignment vertical="top" wrapText="1"/>
    </xf>
    <xf numFmtId="0" fontId="33" fillId="4" borderId="8" xfId="0" applyFont="1" applyFill="1" applyBorder="1" applyAlignment="1">
      <alignment horizontal="center" vertical="top" wrapText="1"/>
    </xf>
    <xf numFmtId="0" fontId="8" fillId="13" borderId="11" xfId="0" applyFont="1" applyFill="1" applyBorder="1" applyAlignment="1">
      <alignment vertical="center" wrapText="1"/>
    </xf>
    <xf numFmtId="0" fontId="8" fillId="13" borderId="11" xfId="0" applyFont="1" applyFill="1" applyBorder="1" applyAlignment="1">
      <alignment vertical="top" wrapText="1"/>
    </xf>
    <xf numFmtId="0" fontId="102" fillId="3" borderId="8" xfId="0" applyFont="1" applyFill="1" applyBorder="1" applyAlignment="1">
      <alignment vertical="top" wrapText="1"/>
    </xf>
    <xf numFmtId="0" fontId="102" fillId="3" borderId="1" xfId="0" applyFont="1" applyFill="1" applyBorder="1" applyAlignment="1">
      <alignment wrapText="1"/>
    </xf>
    <xf numFmtId="0" fontId="41" fillId="2" borderId="2" xfId="0" applyFont="1" applyFill="1" applyBorder="1" applyAlignment="1">
      <alignment horizontal="center" vertical="center" wrapText="1"/>
    </xf>
    <xf numFmtId="49" fontId="15" fillId="2" borderId="2" xfId="0" applyNumberFormat="1" applyFont="1" applyFill="1" applyBorder="1" applyAlignment="1">
      <alignment vertical="center" wrapText="1"/>
    </xf>
    <xf numFmtId="0" fontId="21" fillId="0" borderId="2" xfId="0" applyFont="1" applyBorder="1" applyAlignment="1" applyProtection="1">
      <alignment wrapText="1"/>
      <protection locked="0"/>
    </xf>
    <xf numFmtId="0" fontId="41" fillId="0" borderId="8" xfId="0" applyFont="1" applyBorder="1" applyAlignment="1">
      <alignment horizontal="center" vertical="top" wrapText="1"/>
    </xf>
    <xf numFmtId="0" fontId="41" fillId="2" borderId="8" xfId="0" applyFont="1" applyFill="1" applyBorder="1" applyAlignment="1">
      <alignment horizontal="center" vertical="top" wrapText="1"/>
    </xf>
    <xf numFmtId="49" fontId="15" fillId="2" borderId="8" xfId="0" applyNumberFormat="1" applyFont="1" applyFill="1" applyBorder="1" applyAlignment="1">
      <alignment vertical="top" wrapText="1"/>
    </xf>
    <xf numFmtId="0" fontId="246" fillId="0" borderId="8" xfId="0" applyFont="1" applyBorder="1" applyAlignment="1">
      <alignment horizontal="justify" vertical="top" wrapText="1"/>
    </xf>
    <xf numFmtId="0" fontId="21" fillId="0" borderId="8" xfId="0" applyFont="1" applyBorder="1" applyAlignment="1" applyProtection="1">
      <alignment vertical="top" wrapText="1"/>
      <protection locked="0"/>
    </xf>
    <xf numFmtId="0" fontId="93" fillId="0" borderId="76" xfId="0" applyFont="1" applyBorder="1" applyAlignment="1">
      <alignment vertical="top" wrapText="1"/>
    </xf>
    <xf numFmtId="49" fontId="42" fillId="17" borderId="60" xfId="0" applyNumberFormat="1" applyFont="1" applyFill="1" applyBorder="1" applyAlignment="1" applyProtection="1">
      <alignment horizontal="left" vertical="top" wrapText="1"/>
      <protection locked="0"/>
    </xf>
    <xf numFmtId="49" fontId="42" fillId="15" borderId="11" xfId="0" applyNumberFormat="1" applyFont="1" applyFill="1" applyBorder="1" applyAlignment="1" applyProtection="1">
      <alignment horizontal="left" vertical="top" wrapText="1"/>
      <protection locked="0"/>
    </xf>
    <xf numFmtId="49" fontId="42" fillId="15" borderId="1" xfId="0" applyNumberFormat="1" applyFont="1" applyFill="1" applyBorder="1" applyAlignment="1" applyProtection="1">
      <alignment horizontal="left" vertical="top" wrapText="1"/>
      <protection locked="0"/>
    </xf>
    <xf numFmtId="49" fontId="42" fillId="15" borderId="12" xfId="0" applyNumberFormat="1" applyFont="1" applyFill="1" applyBorder="1" applyAlignment="1" applyProtection="1">
      <alignment horizontal="left" vertical="top" wrapText="1"/>
      <protection locked="0"/>
    </xf>
    <xf numFmtId="0" fontId="26" fillId="3" borderId="50" xfId="0" applyFont="1" applyFill="1" applyBorder="1" applyAlignment="1">
      <alignment vertical="top" wrapText="1"/>
    </xf>
    <xf numFmtId="0" fontId="8" fillId="3" borderId="27" xfId="0" applyFont="1" applyFill="1" applyBorder="1" applyAlignment="1">
      <alignment vertical="top" wrapText="1"/>
    </xf>
    <xf numFmtId="0" fontId="8" fillId="3" borderId="50" xfId="0" applyFont="1" applyFill="1" applyBorder="1" applyAlignment="1">
      <alignment vertical="top" wrapText="1"/>
    </xf>
    <xf numFmtId="0" fontId="27" fillId="0" borderId="2" xfId="0" applyFont="1" applyBorder="1" applyAlignment="1">
      <alignment horizontal="center" vertical="center" wrapText="1"/>
    </xf>
    <xf numFmtId="0" fontId="27" fillId="0" borderId="92" xfId="0" applyFont="1" applyBorder="1" applyAlignment="1">
      <alignment horizontal="center" vertical="center" wrapText="1"/>
    </xf>
    <xf numFmtId="0" fontId="96" fillId="6" borderId="24" xfId="0" applyFont="1" applyFill="1" applyBorder="1" applyAlignment="1" applyProtection="1">
      <alignment horizontal="center" vertical="center" wrapText="1"/>
      <protection locked="0"/>
    </xf>
    <xf numFmtId="0" fontId="63" fillId="0" borderId="2" xfId="0" applyFont="1" applyBorder="1" applyAlignment="1">
      <alignment horizontal="justify" vertical="center" wrapText="1"/>
    </xf>
    <xf numFmtId="0" fontId="68" fillId="0" borderId="2" xfId="0" applyFont="1" applyBorder="1" applyAlignment="1">
      <alignment horizontal="left" vertical="center" wrapText="1" indent="1"/>
    </xf>
    <xf numFmtId="0" fontId="25" fillId="0" borderId="92" xfId="0" applyFont="1" applyBorder="1" applyAlignment="1">
      <alignment vertical="center" wrapText="1"/>
    </xf>
    <xf numFmtId="0" fontId="25" fillId="0" borderId="25" xfId="0" applyFont="1" applyBorder="1" applyAlignment="1" applyProtection="1">
      <alignment vertical="center" wrapText="1"/>
      <protection locked="0"/>
    </xf>
    <xf numFmtId="0" fontId="144" fillId="0" borderId="2" xfId="0" applyFont="1" applyBorder="1" applyAlignment="1">
      <alignment horizontal="justify" vertical="center" wrapText="1"/>
    </xf>
    <xf numFmtId="0" fontId="27" fillId="0" borderId="8" xfId="0" applyFont="1" applyBorder="1" applyAlignment="1">
      <alignment horizontal="center" vertical="top" wrapText="1"/>
    </xf>
    <xf numFmtId="0" fontId="27" fillId="0" borderId="93" xfId="0" applyFont="1" applyBorder="1" applyAlignment="1">
      <alignment horizontal="center" vertical="top" wrapText="1"/>
    </xf>
    <xf numFmtId="49" fontId="9" fillId="2" borderId="8" xfId="0" applyNumberFormat="1" applyFont="1" applyFill="1" applyBorder="1" applyAlignment="1">
      <alignment vertical="top" wrapText="1"/>
    </xf>
    <xf numFmtId="0" fontId="68" fillId="0" borderId="8" xfId="0" applyFont="1" applyBorder="1" applyAlignment="1">
      <alignment horizontal="left" vertical="top" wrapText="1"/>
    </xf>
    <xf numFmtId="0" fontId="25" fillId="0" borderId="93" xfId="0" applyFont="1" applyBorder="1" applyAlignment="1">
      <alignment vertical="top" wrapText="1"/>
    </xf>
    <xf numFmtId="0" fontId="25" fillId="0" borderId="52" xfId="0" applyFont="1" applyBorder="1" applyAlignment="1" applyProtection="1">
      <alignment vertical="top" wrapText="1"/>
      <protection locked="0"/>
    </xf>
    <xf numFmtId="0" fontId="93" fillId="0" borderId="31" xfId="0" applyFont="1" applyBorder="1" applyAlignment="1">
      <alignment vertical="top" wrapText="1"/>
    </xf>
    <xf numFmtId="0" fontId="144" fillId="0" borderId="57" xfId="0" applyFont="1" applyBorder="1" applyAlignment="1">
      <alignment horizontal="justify" vertical="top" wrapText="1"/>
    </xf>
    <xf numFmtId="0" fontId="0" fillId="0" borderId="0" xfId="0" applyAlignment="1">
      <alignment horizontal="left" vertical="top" wrapText="1" indent="1"/>
    </xf>
    <xf numFmtId="0" fontId="0" fillId="0" borderId="0" xfId="0" applyAlignment="1">
      <alignment horizontal="left" wrapText="1" indent="1"/>
    </xf>
    <xf numFmtId="0" fontId="116" fillId="0" borderId="0" xfId="0" applyFont="1" applyAlignment="1">
      <alignment horizontal="left" vertical="center" wrapText="1" indent="1"/>
    </xf>
    <xf numFmtId="0" fontId="152" fillId="0" borderId="0" xfId="0" applyFont="1" applyAlignment="1">
      <alignment horizontal="left" wrapText="1" indent="1"/>
    </xf>
    <xf numFmtId="20" fontId="0" fillId="0" borderId="0" xfId="0" applyNumberFormat="1" applyAlignment="1">
      <alignment horizontal="left" wrapText="1" indent="1"/>
    </xf>
    <xf numFmtId="0" fontId="109" fillId="0" borderId="0" xfId="0" applyFont="1" applyAlignment="1">
      <alignment horizontal="left" wrapText="1" indent="1"/>
    </xf>
    <xf numFmtId="0" fontId="0" fillId="0" borderId="0" xfId="0" applyAlignment="1">
      <alignment horizontal="left" indent="1"/>
    </xf>
    <xf numFmtId="0" fontId="158" fillId="0" borderId="0" xfId="0" applyFont="1" applyAlignment="1">
      <alignment horizontal="center" vertical="top" wrapText="1"/>
    </xf>
    <xf numFmtId="0" fontId="160" fillId="0" borderId="0" xfId="0" applyFont="1" applyAlignment="1">
      <alignment horizontal="center" vertical="top" wrapText="1"/>
    </xf>
    <xf numFmtId="0" fontId="160" fillId="0" borderId="0" xfId="0" applyFont="1" applyAlignment="1">
      <alignment horizontal="center" wrapText="1"/>
    </xf>
    <xf numFmtId="0" fontId="160" fillId="0" borderId="0" xfId="0" applyFont="1" applyAlignment="1">
      <alignment horizontal="center" vertical="center" wrapText="1"/>
    </xf>
    <xf numFmtId="0" fontId="247" fillId="0" borderId="0" xfId="0" applyFont="1" applyAlignment="1">
      <alignment horizontal="center" vertical="center" wrapText="1"/>
    </xf>
    <xf numFmtId="0" fontId="248" fillId="0" borderId="0" xfId="0" applyFont="1" applyAlignment="1">
      <alignment horizontal="center" wrapText="1"/>
    </xf>
    <xf numFmtId="0" fontId="248" fillId="0" borderId="0" xfId="0" applyFont="1" applyAlignment="1">
      <alignment horizontal="left" wrapText="1" indent="1"/>
    </xf>
    <xf numFmtId="20" fontId="160" fillId="0" borderId="0" xfId="0" applyNumberFormat="1" applyFont="1" applyAlignment="1">
      <alignment horizontal="center" wrapText="1"/>
    </xf>
    <xf numFmtId="0" fontId="249" fillId="0" borderId="0" xfId="0" applyFont="1" applyAlignment="1">
      <alignment horizontal="center" wrapText="1"/>
    </xf>
    <xf numFmtId="0" fontId="160" fillId="0" borderId="0" xfId="0" applyFont="1" applyAlignment="1">
      <alignment horizontal="center"/>
    </xf>
    <xf numFmtId="0" fontId="248" fillId="0" borderId="0" xfId="0" applyFont="1" applyAlignment="1">
      <alignment horizontal="left" vertical="top" wrapText="1" indent="1"/>
    </xf>
    <xf numFmtId="0" fontId="248" fillId="0" borderId="0" xfId="0" applyFont="1" applyAlignment="1">
      <alignment horizontal="left" vertical="center" wrapText="1" indent="1"/>
    </xf>
    <xf numFmtId="0" fontId="248" fillId="0" borderId="0" xfId="0" applyFont="1" applyAlignment="1">
      <alignment horizontal="left" vertical="center" wrapText="1"/>
    </xf>
    <xf numFmtId="20" fontId="248" fillId="0" borderId="0" xfId="0" applyNumberFormat="1" applyFont="1" applyAlignment="1">
      <alignment horizontal="left" wrapText="1" indent="1"/>
    </xf>
    <xf numFmtId="0" fontId="248" fillId="0" borderId="0" xfId="0" applyFont="1" applyAlignment="1">
      <alignment horizontal="left" indent="1"/>
    </xf>
    <xf numFmtId="0" fontId="21" fillId="14" borderId="1" xfId="0" applyFont="1" applyFill="1" applyBorder="1" applyAlignment="1">
      <alignment vertical="center" wrapText="1"/>
    </xf>
    <xf numFmtId="0" fontId="10" fillId="13" borderId="36" xfId="0" applyFont="1" applyFill="1" applyBorder="1" applyAlignment="1">
      <alignment horizontal="justify" vertical="top" wrapText="1"/>
    </xf>
    <xf numFmtId="0" fontId="10" fillId="14" borderId="36" xfId="0" applyFont="1" applyFill="1" applyBorder="1" applyAlignment="1">
      <alignment horizontal="justify" vertical="center" wrapText="1"/>
    </xf>
    <xf numFmtId="0" fontId="20" fillId="13" borderId="0" xfId="0" applyFont="1" applyFill="1" applyAlignment="1">
      <alignment horizontal="justify" vertical="center"/>
    </xf>
    <xf numFmtId="0" fontId="131" fillId="12" borderId="0" xfId="0" applyFont="1" applyFill="1" applyAlignment="1">
      <alignment vertical="center" wrapText="1"/>
    </xf>
    <xf numFmtId="0" fontId="122" fillId="0" borderId="0" xfId="0" applyFont="1" applyAlignment="1" applyProtection="1">
      <alignment horizontal="center" vertical="center" wrapText="1"/>
      <protection locked="0"/>
    </xf>
    <xf numFmtId="0" fontId="0" fillId="20" borderId="0" xfId="0" applyFill="1"/>
    <xf numFmtId="0" fontId="0" fillId="20" borderId="0" xfId="0" applyFill="1" applyAlignment="1">
      <alignment vertical="top"/>
    </xf>
    <xf numFmtId="0" fontId="75" fillId="20" borderId="0" xfId="0" applyFont="1" applyFill="1" applyAlignment="1">
      <alignment vertical="top"/>
    </xf>
    <xf numFmtId="0" fontId="170" fillId="0" borderId="0" xfId="0" applyFont="1" applyAlignment="1">
      <alignment vertical="top"/>
    </xf>
    <xf numFmtId="0" fontId="170" fillId="0" borderId="0" xfId="0" applyFont="1" applyAlignment="1">
      <alignment horizontal="center" vertical="top"/>
    </xf>
    <xf numFmtId="166" fontId="75" fillId="0" borderId="0" xfId="0" applyNumberFormat="1" applyFont="1" applyAlignment="1">
      <alignment horizontal="left" vertical="top"/>
    </xf>
    <xf numFmtId="166" fontId="123" fillId="0" borderId="0" xfId="0" applyNumberFormat="1" applyFont="1" applyAlignment="1">
      <alignment horizontal="left" vertical="top"/>
    </xf>
    <xf numFmtId="166" fontId="75" fillId="0" borderId="0" xfId="0" applyNumberFormat="1" applyFont="1" applyAlignment="1">
      <alignment vertical="top" wrapText="1"/>
    </xf>
    <xf numFmtId="0" fontId="75" fillId="0" borderId="0" xfId="0" applyFont="1" applyAlignment="1">
      <alignment horizontal="left" vertical="top"/>
    </xf>
    <xf numFmtId="166" fontId="0" fillId="0" borderId="0" xfId="0" applyNumberFormat="1" applyAlignment="1">
      <alignment horizontal="left" vertical="top"/>
    </xf>
    <xf numFmtId="166" fontId="111" fillId="0" borderId="0" xfId="0" applyNumberFormat="1" applyFont="1" applyAlignment="1">
      <alignment horizontal="left" vertical="top"/>
    </xf>
    <xf numFmtId="166" fontId="0" fillId="0" borderId="0" xfId="0" applyNumberFormat="1" applyAlignment="1">
      <alignment vertical="top"/>
    </xf>
    <xf numFmtId="0" fontId="0" fillId="0" borderId="0" xfId="0" applyAlignment="1">
      <alignment horizontal="left" vertical="top"/>
    </xf>
    <xf numFmtId="0" fontId="109" fillId="0" borderId="0" xfId="0" applyFont="1" applyAlignment="1">
      <alignment vertical="top" wrapText="1"/>
    </xf>
    <xf numFmtId="0" fontId="171" fillId="0" borderId="0" xfId="0" applyFont="1" applyAlignment="1">
      <alignment vertical="top" wrapText="1"/>
    </xf>
    <xf numFmtId="0" fontId="20" fillId="0" borderId="0" xfId="0" applyFont="1" applyAlignment="1">
      <alignment vertical="top" wrapText="1"/>
    </xf>
    <xf numFmtId="0" fontId="253" fillId="0" borderId="0" xfId="0" applyFont="1" applyAlignment="1">
      <alignment horizontal="justify" vertical="top" wrapText="1"/>
    </xf>
    <xf numFmtId="0" fontId="42" fillId="0" borderId="0" xfId="0" applyFont="1" applyAlignment="1">
      <alignment horizontal="justify" vertical="top" wrapText="1"/>
    </xf>
    <xf numFmtId="0" fontId="90" fillId="0" borderId="0" xfId="0" applyFont="1" applyAlignment="1">
      <alignment horizontal="justify" wrapText="1"/>
    </xf>
    <xf numFmtId="0" fontId="90" fillId="0" borderId="0" xfId="0" applyFont="1" applyAlignment="1">
      <alignment horizontal="justify" vertical="top" wrapText="1"/>
    </xf>
    <xf numFmtId="0" fontId="90" fillId="0" borderId="0" xfId="0" applyFont="1" applyAlignment="1">
      <alignment horizontal="justify" vertical="center" wrapText="1"/>
    </xf>
    <xf numFmtId="0" fontId="246" fillId="0" borderId="0" xfId="0" applyFont="1" applyAlignment="1">
      <alignment horizontal="justify" vertical="center" wrapText="1"/>
    </xf>
    <xf numFmtId="0" fontId="253" fillId="0" borderId="0" xfId="0" applyFont="1" applyAlignment="1">
      <alignment horizontal="justify" vertical="center" wrapText="1"/>
    </xf>
    <xf numFmtId="0" fontId="123" fillId="0" borderId="0" xfId="0" applyFont="1" applyAlignment="1">
      <alignment vertical="top" wrapText="1"/>
    </xf>
    <xf numFmtId="166" fontId="111" fillId="0" borderId="0" xfId="0" applyNumberFormat="1" applyFont="1" applyAlignment="1">
      <alignment vertical="top"/>
    </xf>
    <xf numFmtId="0" fontId="8" fillId="0" borderId="0" xfId="0" applyFont="1" applyAlignment="1">
      <alignment vertical="top" wrapText="1"/>
    </xf>
    <xf numFmtId="0" fontId="253" fillId="0" borderId="0" xfId="0" applyFont="1" applyAlignment="1">
      <alignment vertical="top" wrapText="1"/>
    </xf>
    <xf numFmtId="0" fontId="20" fillId="0" borderId="0" xfId="0" applyFont="1" applyAlignment="1">
      <alignment horizontal="justify" vertical="center"/>
    </xf>
    <xf numFmtId="0" fontId="34" fillId="0" borderId="1" xfId="0" applyFont="1" applyBorder="1" applyAlignment="1">
      <alignment horizontal="center" vertical="center" wrapText="1"/>
    </xf>
    <xf numFmtId="0" fontId="22" fillId="0" borderId="0" xfId="0" applyFont="1" applyAlignment="1">
      <alignment horizontal="justify" vertical="center" wrapText="1"/>
    </xf>
    <xf numFmtId="0" fontId="256" fillId="0" borderId="0" xfId="0" applyFont="1" applyAlignment="1">
      <alignment horizontal="justify" vertical="center" wrapText="1"/>
    </xf>
    <xf numFmtId="0" fontId="34" fillId="0" borderId="0" xfId="0" applyFont="1" applyAlignment="1">
      <alignment horizontal="justify" vertical="center" wrapText="1"/>
    </xf>
    <xf numFmtId="0" fontId="257" fillId="0" borderId="0" xfId="0" applyFont="1" applyAlignment="1">
      <alignment vertical="top" wrapText="1"/>
    </xf>
    <xf numFmtId="0" fontId="258" fillId="0" borderId="0" xfId="0" applyFont="1" applyAlignment="1">
      <alignment wrapText="1"/>
    </xf>
    <xf numFmtId="0" fontId="257" fillId="0" borderId="0" xfId="0" applyFont="1"/>
    <xf numFmtId="0" fontId="10" fillId="14" borderId="36" xfId="0" applyFont="1" applyFill="1" applyBorder="1" applyAlignment="1">
      <alignment horizontal="justify" vertical="top" wrapText="1"/>
    </xf>
    <xf numFmtId="0" fontId="156" fillId="0" borderId="0" xfId="0" applyFont="1" applyAlignment="1">
      <alignment horizontal="left" vertical="center" wrapText="1" indent="2"/>
    </xf>
    <xf numFmtId="0" fontId="0" fillId="12" borderId="0" xfId="0" applyFill="1"/>
    <xf numFmtId="0" fontId="0" fillId="12" borderId="0" xfId="0" applyFill="1" applyAlignment="1">
      <alignment vertical="center"/>
    </xf>
    <xf numFmtId="0" fontId="15" fillId="13" borderId="53" xfId="0" applyFont="1" applyFill="1" applyBorder="1" applyAlignment="1">
      <alignment vertical="top" wrapText="1"/>
    </xf>
    <xf numFmtId="0" fontId="15" fillId="14" borderId="54" xfId="0" applyFont="1" applyFill="1" applyBorder="1" applyAlignment="1">
      <alignment vertical="top" wrapText="1"/>
    </xf>
    <xf numFmtId="0" fontId="113" fillId="3" borderId="55" xfId="0" applyFont="1" applyFill="1" applyBorder="1" applyAlignment="1">
      <alignment vertical="top" wrapText="1"/>
    </xf>
    <xf numFmtId="0" fontId="0" fillId="0" borderId="32" xfId="0" applyBorder="1"/>
    <xf numFmtId="0" fontId="90" fillId="13" borderId="32" xfId="0" applyFont="1" applyFill="1" applyBorder="1" applyAlignment="1">
      <alignment vertical="center" wrapText="1"/>
    </xf>
    <xf numFmtId="0" fontId="0" fillId="0" borderId="10" xfId="0" applyBorder="1"/>
    <xf numFmtId="0" fontId="89" fillId="14" borderId="50" xfId="0" applyFont="1" applyFill="1" applyBorder="1" applyAlignment="1">
      <alignment vertical="top" wrapText="1"/>
    </xf>
    <xf numFmtId="0" fontId="70" fillId="3" borderId="35" xfId="0" applyFont="1" applyFill="1" applyBorder="1" applyAlignment="1">
      <alignment vertical="top" wrapText="1"/>
    </xf>
    <xf numFmtId="0" fontId="89" fillId="14" borderId="50" xfId="0" applyFont="1" applyFill="1" applyBorder="1" applyAlignment="1">
      <alignment wrapText="1"/>
    </xf>
    <xf numFmtId="0" fontId="89" fillId="14" borderId="50" xfId="0" applyFont="1" applyFill="1" applyBorder="1" applyAlignment="1">
      <alignment vertical="top"/>
    </xf>
    <xf numFmtId="0" fontId="89" fillId="13" borderId="34" xfId="0" applyFont="1" applyFill="1" applyBorder="1" applyAlignment="1">
      <alignment vertical="top"/>
    </xf>
    <xf numFmtId="0" fontId="89" fillId="13" borderId="34" xfId="0" applyFont="1" applyFill="1" applyBorder="1" applyAlignment="1">
      <alignment horizontal="justify" wrapText="1"/>
    </xf>
    <xf numFmtId="0" fontId="0" fillId="9" borderId="0" xfId="0" applyFill="1" applyAlignment="1">
      <alignment horizontal="center"/>
    </xf>
    <xf numFmtId="0" fontId="60" fillId="9" borderId="0" xfId="258" applyFill="1" applyAlignment="1" applyProtection="1">
      <alignment vertical="top"/>
    </xf>
    <xf numFmtId="0" fontId="0" fillId="3" borderId="0" xfId="0" applyFill="1" applyAlignment="1">
      <alignment vertical="top"/>
    </xf>
    <xf numFmtId="166" fontId="131" fillId="22" borderId="0" xfId="0" applyNumberFormat="1" applyFont="1" applyFill="1" applyAlignment="1" applyProtection="1">
      <alignment horizontal="center"/>
      <protection locked="0"/>
    </xf>
    <xf numFmtId="0" fontId="0" fillId="9" borderId="0" xfId="0" applyFill="1"/>
    <xf numFmtId="0" fontId="5" fillId="9" borderId="0" xfId="0" applyFont="1" applyFill="1" applyAlignment="1">
      <alignment horizontal="center"/>
    </xf>
    <xf numFmtId="0" fontId="150" fillId="9" borderId="0" xfId="0" applyFont="1" applyFill="1" applyAlignment="1">
      <alignment horizontal="center" vertical="top" wrapText="1"/>
    </xf>
    <xf numFmtId="0" fontId="151" fillId="9" borderId="0" xfId="0" applyFont="1" applyFill="1" applyAlignment="1">
      <alignment vertical="top" wrapText="1"/>
    </xf>
    <xf numFmtId="0" fontId="0" fillId="9" borderId="0" xfId="0" applyFill="1" applyAlignment="1">
      <alignment vertical="top" wrapText="1"/>
    </xf>
    <xf numFmtId="49" fontId="150" fillId="9" borderId="0" xfId="0" applyNumberFormat="1" applyFont="1" applyFill="1" applyAlignment="1">
      <alignment horizontal="center"/>
    </xf>
    <xf numFmtId="0" fontId="131" fillId="9" borderId="0" xfId="0" applyFont="1" applyFill="1" applyAlignment="1">
      <alignment horizontal="center" vertical="top" wrapText="1"/>
    </xf>
    <xf numFmtId="0" fontId="150" fillId="9" borderId="0" xfId="0" applyFont="1" applyFill="1" applyAlignment="1">
      <alignment horizontal="left" vertical="top" wrapText="1"/>
    </xf>
    <xf numFmtId="0" fontId="75" fillId="9" borderId="0" xfId="0" applyFont="1" applyFill="1" applyAlignment="1">
      <alignment horizontal="center"/>
    </xf>
    <xf numFmtId="0" fontId="0" fillId="9" borderId="0" xfId="0" applyFill="1" applyAlignment="1">
      <alignment vertical="top"/>
    </xf>
    <xf numFmtId="0" fontId="265" fillId="22" borderId="0" xfId="0" applyFont="1" applyFill="1" applyAlignment="1">
      <alignment horizontal="left"/>
    </xf>
    <xf numFmtId="0" fontId="266" fillId="9" borderId="0" xfId="0" applyFont="1" applyFill="1" applyAlignment="1">
      <alignment wrapText="1"/>
    </xf>
    <xf numFmtId="166" fontId="134" fillId="9" borderId="0" xfId="0" applyNumberFormat="1" applyFont="1" applyFill="1"/>
    <xf numFmtId="0" fontId="170" fillId="9" borderId="0" xfId="0" applyFont="1" applyFill="1" applyAlignment="1">
      <alignment horizontal="center" vertical="top" wrapText="1"/>
    </xf>
    <xf numFmtId="0" fontId="264" fillId="9" borderId="0" xfId="0" applyFont="1" applyFill="1" applyAlignment="1">
      <alignment horizontal="left" vertical="top" wrapText="1"/>
    </xf>
    <xf numFmtId="0" fontId="123" fillId="9" borderId="0" xfId="0" applyFont="1" applyFill="1" applyAlignment="1">
      <alignment horizontal="center" vertical="top" wrapText="1"/>
    </xf>
    <xf numFmtId="0" fontId="151" fillId="12" borderId="0" xfId="0" applyFont="1" applyFill="1"/>
    <xf numFmtId="0" fontId="151" fillId="12" borderId="0" xfId="0" applyFont="1" applyFill="1" applyAlignment="1">
      <alignment horizontal="left"/>
    </xf>
    <xf numFmtId="0" fontId="0" fillId="12" borderId="0" xfId="0" applyFill="1" applyAlignment="1">
      <alignment vertical="top"/>
    </xf>
    <xf numFmtId="0" fontId="75" fillId="12" borderId="0" xfId="0" applyFont="1" applyFill="1" applyAlignment="1">
      <alignment vertical="top" wrapText="1"/>
    </xf>
    <xf numFmtId="0" fontId="123" fillId="12" borderId="0" xfId="0" applyFont="1" applyFill="1" applyAlignment="1">
      <alignment vertical="top"/>
    </xf>
    <xf numFmtId="0" fontId="0" fillId="12" borderId="0" xfId="0" applyFill="1" applyAlignment="1">
      <alignment horizontal="center" vertical="top"/>
    </xf>
    <xf numFmtId="0" fontId="75" fillId="12" borderId="0" xfId="0" applyFont="1" applyFill="1" applyAlignment="1">
      <alignment horizontal="left" vertical="top"/>
    </xf>
    <xf numFmtId="0" fontId="170" fillId="12" borderId="0" xfId="0" applyFont="1" applyFill="1" applyAlignment="1">
      <alignment vertical="top" wrapText="1"/>
    </xf>
    <xf numFmtId="0" fontId="192" fillId="12" borderId="0" xfId="0" applyFont="1" applyFill="1" applyAlignment="1">
      <alignment horizontal="center" vertical="top" wrapText="1"/>
    </xf>
    <xf numFmtId="0" fontId="267" fillId="12" borderId="0" xfId="258" applyFont="1" applyFill="1" applyAlignment="1">
      <alignment vertical="top"/>
    </xf>
    <xf numFmtId="0" fontId="170" fillId="12" borderId="0" xfId="0" applyFont="1" applyFill="1" applyAlignment="1">
      <alignment vertical="top"/>
    </xf>
    <xf numFmtId="0" fontId="123" fillId="12" borderId="0" xfId="0" applyFont="1" applyFill="1" applyAlignment="1">
      <alignment vertical="top" wrapText="1"/>
    </xf>
    <xf numFmtId="0" fontId="268" fillId="12" borderId="0" xfId="0" applyFont="1" applyFill="1" applyAlignment="1">
      <alignment horizontal="left" vertical="top" wrapText="1" indent="2"/>
    </xf>
    <xf numFmtId="0" fontId="269" fillId="12" borderId="0" xfId="0" applyFont="1" applyFill="1" applyAlignment="1">
      <alignment horizontal="left" vertical="top" wrapText="1" indent="2"/>
    </xf>
    <xf numFmtId="0" fontId="270" fillId="12" borderId="0" xfId="258" applyFont="1" applyFill="1" applyAlignment="1">
      <alignment vertical="top"/>
    </xf>
    <xf numFmtId="0" fontId="111" fillId="9" borderId="0" xfId="0" applyFont="1" applyFill="1" applyAlignment="1">
      <alignment wrapText="1"/>
    </xf>
    <xf numFmtId="0" fontId="149" fillId="9" borderId="0" xfId="0" applyFont="1" applyFill="1"/>
    <xf numFmtId="0" fontId="149" fillId="9" borderId="0" xfId="0" applyFont="1" applyFill="1" applyAlignment="1">
      <alignment wrapText="1"/>
    </xf>
    <xf numFmtId="0" fontId="150" fillId="9" borderId="0" xfId="0" applyFont="1" applyFill="1" applyAlignment="1">
      <alignment horizontal="center"/>
    </xf>
    <xf numFmtId="0" fontId="263" fillId="9" borderId="0" xfId="0" applyFont="1" applyFill="1" applyAlignment="1">
      <alignment horizontal="left" indent="1"/>
    </xf>
    <xf numFmtId="1" fontId="75" fillId="9" borderId="0" xfId="0" applyNumberFormat="1" applyFont="1" applyFill="1" applyAlignment="1">
      <alignment horizontal="center"/>
    </xf>
    <xf numFmtId="0" fontId="150" fillId="12" borderId="0" xfId="0" applyFont="1" applyFill="1" applyAlignment="1">
      <alignment horizontal="center" vertical="center" wrapText="1"/>
    </xf>
    <xf numFmtId="0" fontId="150" fillId="12" borderId="0" xfId="0" applyFont="1" applyFill="1" applyAlignment="1">
      <alignment vertical="center"/>
    </xf>
    <xf numFmtId="0" fontId="75" fillId="12" borderId="0" xfId="0" applyFont="1" applyFill="1" applyAlignment="1">
      <alignment vertical="center"/>
    </xf>
    <xf numFmtId="0" fontId="0" fillId="22" borderId="0" xfId="0" applyFill="1"/>
    <xf numFmtId="0" fontId="0" fillId="23" borderId="0" xfId="0" applyFill="1"/>
    <xf numFmtId="0" fontId="0" fillId="23" borderId="0" xfId="0" applyFill="1" applyAlignment="1">
      <alignment vertical="top"/>
    </xf>
    <xf numFmtId="0" fontId="0" fillId="23" borderId="0" xfId="0" applyFill="1" applyAlignment="1">
      <alignment vertical="center"/>
    </xf>
    <xf numFmtId="0" fontId="0" fillId="23" borderId="0" xfId="0" applyFill="1" applyAlignment="1">
      <alignment vertical="top" wrapText="1"/>
    </xf>
    <xf numFmtId="0" fontId="0" fillId="23" borderId="0" xfId="0" applyFill="1" applyAlignment="1">
      <alignment vertical="center" wrapText="1"/>
    </xf>
    <xf numFmtId="0" fontId="111" fillId="23" borderId="0" xfId="0" applyFont="1" applyFill="1"/>
    <xf numFmtId="0" fontId="0" fillId="23" borderId="0" xfId="0" applyFill="1" applyAlignment="1">
      <alignment vertical="center" textRotation="255"/>
    </xf>
    <xf numFmtId="0" fontId="113" fillId="3" borderId="47" xfId="0" applyFont="1" applyFill="1" applyBorder="1" applyAlignment="1">
      <alignment vertical="top" wrapText="1"/>
    </xf>
    <xf numFmtId="0" fontId="102" fillId="3" borderId="42" xfId="0" applyFont="1" applyFill="1" applyBorder="1" applyAlignment="1">
      <alignment horizontal="left" wrapText="1"/>
    </xf>
    <xf numFmtId="0" fontId="42" fillId="3" borderId="42" xfId="0" applyFont="1" applyFill="1" applyBorder="1" applyAlignment="1">
      <alignment vertical="center" wrapText="1"/>
    </xf>
    <xf numFmtId="0" fontId="102" fillId="3" borderId="42" xfId="0" applyFont="1" applyFill="1" applyBorder="1" applyAlignment="1">
      <alignment horizontal="left" vertical="center" wrapText="1"/>
    </xf>
    <xf numFmtId="0" fontId="111" fillId="3" borderId="42" xfId="0" applyFont="1" applyFill="1" applyBorder="1" applyAlignment="1">
      <alignment wrapText="1"/>
    </xf>
    <xf numFmtId="0" fontId="102" fillId="3" borderId="42" xfId="0" applyFont="1" applyFill="1" applyBorder="1" applyAlignment="1">
      <alignment horizontal="left" vertical="top" wrapText="1"/>
    </xf>
    <xf numFmtId="0" fontId="94" fillId="3" borderId="42" xfId="0" applyFont="1" applyFill="1" applyBorder="1" applyAlignment="1">
      <alignment horizontal="left" wrapText="1"/>
    </xf>
    <xf numFmtId="0" fontId="42" fillId="3" borderId="42" xfId="0" applyFont="1" applyFill="1" applyBorder="1" applyAlignment="1">
      <alignment wrapText="1"/>
    </xf>
    <xf numFmtId="0" fontId="0" fillId="23" borderId="0" xfId="0" applyFill="1" applyAlignment="1">
      <alignment vertical="top" textRotation="255"/>
    </xf>
    <xf numFmtId="0" fontId="271" fillId="23" borderId="0" xfId="0" applyFont="1" applyFill="1" applyAlignment="1">
      <alignment vertical="top" textRotation="255"/>
    </xf>
    <xf numFmtId="0" fontId="2" fillId="0" borderId="0" xfId="0" applyFont="1" applyAlignment="1">
      <alignment horizontal="left" vertical="center" wrapText="1"/>
    </xf>
    <xf numFmtId="0" fontId="60" fillId="0" borderId="0" xfId="258" applyAlignment="1">
      <alignment horizontal="left" wrapText="1" indent="3"/>
    </xf>
    <xf numFmtId="0" fontId="60" fillId="13" borderId="34" xfId="258" applyFill="1" applyBorder="1" applyAlignment="1">
      <alignment wrapText="1"/>
    </xf>
    <xf numFmtId="0" fontId="60" fillId="14" borderId="50" xfId="258" applyFill="1" applyBorder="1" applyAlignment="1">
      <alignment wrapText="1"/>
    </xf>
    <xf numFmtId="0" fontId="75" fillId="0" borderId="0" xfId="0" applyFont="1" applyProtection="1">
      <protection locked="0"/>
    </xf>
    <xf numFmtId="0" fontId="18" fillId="0" borderId="0" xfId="0" applyFont="1" applyAlignment="1">
      <alignment horizontal="left" vertical="center" wrapText="1"/>
    </xf>
    <xf numFmtId="166" fontId="41" fillId="0" borderId="0" xfId="0" applyNumberFormat="1" applyFont="1" applyAlignment="1">
      <alignment horizontal="left" vertical="center" wrapText="1"/>
    </xf>
    <xf numFmtId="0" fontId="41" fillId="0" borderId="0" xfId="0" applyFont="1" applyAlignment="1">
      <alignment horizontal="left" vertical="center" wrapText="1"/>
    </xf>
    <xf numFmtId="0" fontId="171" fillId="0" borderId="33" xfId="0" applyFont="1" applyBorder="1" applyAlignment="1">
      <alignment vertical="top"/>
    </xf>
    <xf numFmtId="0" fontId="200" fillId="0" borderId="0" xfId="0" applyFont="1"/>
    <xf numFmtId="0" fontId="200" fillId="0" borderId="0" xfId="0" applyFont="1" applyAlignment="1">
      <alignment vertical="center" wrapText="1"/>
    </xf>
    <xf numFmtId="0" fontId="10" fillId="0" borderId="0" xfId="0" applyFont="1" applyAlignment="1">
      <alignment horizontal="justify" vertical="center"/>
    </xf>
    <xf numFmtId="0" fontId="200" fillId="0" borderId="0" xfId="0" applyFont="1" applyAlignment="1">
      <alignment wrapText="1"/>
    </xf>
    <xf numFmtId="0" fontId="271" fillId="0" borderId="0" xfId="0" applyFont="1" applyAlignment="1">
      <alignment wrapText="1"/>
    </xf>
    <xf numFmtId="0" fontId="75" fillId="20" borderId="33" xfId="0" applyFont="1" applyFill="1" applyBorder="1" applyAlignment="1">
      <alignment vertical="top"/>
    </xf>
    <xf numFmtId="0" fontId="123" fillId="20" borderId="33" xfId="0" applyFont="1" applyFill="1" applyBorder="1" applyAlignment="1">
      <alignment vertical="top"/>
    </xf>
    <xf numFmtId="0" fontId="111" fillId="20" borderId="0" xfId="0" applyFont="1" applyFill="1"/>
    <xf numFmtId="0" fontId="123" fillId="20" borderId="33" xfId="0" applyFont="1" applyFill="1" applyBorder="1" applyAlignment="1">
      <alignment vertical="top" wrapText="1"/>
    </xf>
    <xf numFmtId="0" fontId="111" fillId="20" borderId="0" xfId="0" applyFont="1" applyFill="1" applyAlignment="1">
      <alignment wrapText="1"/>
    </xf>
    <xf numFmtId="0" fontId="274" fillId="20" borderId="33" xfId="0" applyFont="1" applyFill="1" applyBorder="1" applyAlignment="1">
      <alignment vertical="top" wrapText="1"/>
    </xf>
    <xf numFmtId="0" fontId="271" fillId="20" borderId="0" xfId="0" applyFont="1" applyFill="1" applyAlignment="1">
      <alignment wrapText="1"/>
    </xf>
    <xf numFmtId="0" fontId="116" fillId="0" borderId="0" xfId="0" applyFont="1"/>
    <xf numFmtId="0" fontId="116" fillId="0" borderId="0" xfId="0" applyFont="1" applyAlignment="1">
      <alignment wrapText="1"/>
    </xf>
    <xf numFmtId="0" fontId="170" fillId="14" borderId="33" xfId="0" applyFont="1" applyFill="1" applyBorder="1" applyAlignment="1">
      <alignment vertical="top"/>
    </xf>
    <xf numFmtId="0" fontId="116" fillId="14" borderId="0" xfId="0" applyFont="1" applyFill="1"/>
    <xf numFmtId="0" fontId="229" fillId="0" borderId="0" xfId="0" applyFont="1" applyAlignment="1">
      <alignment wrapText="1"/>
    </xf>
    <xf numFmtId="0" fontId="131" fillId="20" borderId="33" xfId="0" applyFont="1" applyFill="1" applyBorder="1" applyAlignment="1">
      <alignment vertical="top" wrapText="1"/>
    </xf>
    <xf numFmtId="0" fontId="152" fillId="20" borderId="0" xfId="0" applyFont="1" applyFill="1" applyAlignment="1">
      <alignment wrapText="1"/>
    </xf>
    <xf numFmtId="0" fontId="116" fillId="0" borderId="0" xfId="0" applyFont="1" applyAlignment="1">
      <alignment horizontal="center" wrapText="1"/>
    </xf>
    <xf numFmtId="0" fontId="0" fillId="20" borderId="0" xfId="0" applyFill="1" applyAlignment="1">
      <alignment horizontal="center"/>
    </xf>
    <xf numFmtId="0" fontId="230" fillId="20" borderId="33" xfId="0" applyFont="1" applyFill="1" applyBorder="1" applyAlignment="1">
      <alignment vertical="top" wrapText="1"/>
    </xf>
    <xf numFmtId="0" fontId="229" fillId="20" borderId="0" xfId="0" applyFont="1" applyFill="1" applyAlignment="1">
      <alignment wrapText="1"/>
    </xf>
    <xf numFmtId="0" fontId="230" fillId="11" borderId="33" xfId="0" applyFont="1" applyFill="1" applyBorder="1" applyAlignment="1">
      <alignment vertical="top" wrapText="1"/>
    </xf>
    <xf numFmtId="0" fontId="229" fillId="11" borderId="0" xfId="0" applyFont="1" applyFill="1" applyAlignment="1">
      <alignment wrapText="1"/>
    </xf>
    <xf numFmtId="0" fontId="75" fillId="11" borderId="33" xfId="0" applyFont="1" applyFill="1" applyBorder="1" applyAlignment="1">
      <alignment vertical="top" wrapText="1"/>
    </xf>
    <xf numFmtId="0" fontId="0" fillId="11" borderId="0" xfId="0" applyFill="1" applyAlignment="1">
      <alignment wrapText="1"/>
    </xf>
    <xf numFmtId="166" fontId="14" fillId="21" borderId="0" xfId="0" applyNumberFormat="1" applyFont="1" applyFill="1" applyAlignment="1" applyProtection="1">
      <alignment horizontal="left" vertical="center"/>
      <protection locked="0"/>
    </xf>
    <xf numFmtId="0" fontId="21" fillId="21" borderId="0" xfId="0" applyFont="1" applyFill="1" applyAlignment="1" applyProtection="1">
      <alignment vertical="center"/>
      <protection locked="0"/>
    </xf>
    <xf numFmtId="166" fontId="60" fillId="21" borderId="0" xfId="258" applyNumberFormat="1" applyFill="1" applyBorder="1" applyAlignment="1" applyProtection="1">
      <alignment horizontal="left" vertical="center" indent="3"/>
      <protection locked="0"/>
    </xf>
    <xf numFmtId="0" fontId="170" fillId="20" borderId="33" xfId="0" applyFont="1" applyFill="1" applyBorder="1" applyAlignment="1">
      <alignment horizontal="center" vertical="top"/>
    </xf>
    <xf numFmtId="0" fontId="116" fillId="20" borderId="0" xfId="0" applyFont="1" applyFill="1" applyAlignment="1">
      <alignment horizontal="center"/>
    </xf>
    <xf numFmtId="0" fontId="116" fillId="0" borderId="0" xfId="0" applyFont="1" applyAlignment="1">
      <alignment horizontal="center"/>
    </xf>
    <xf numFmtId="0" fontId="275" fillId="20" borderId="33" xfId="0" applyFont="1" applyFill="1" applyBorder="1" applyAlignment="1">
      <alignment horizontal="center" vertical="top" wrapText="1"/>
    </xf>
    <xf numFmtId="0" fontId="275" fillId="20" borderId="33" xfId="0" applyFont="1" applyFill="1" applyBorder="1" applyAlignment="1">
      <alignment vertical="top" wrapText="1"/>
    </xf>
    <xf numFmtId="0" fontId="275" fillId="20" borderId="33" xfId="0" applyFont="1" applyFill="1" applyBorder="1" applyAlignment="1">
      <alignment vertical="top"/>
    </xf>
    <xf numFmtId="0" fontId="109" fillId="20" borderId="0" xfId="0" applyFont="1" applyFill="1" applyAlignment="1">
      <alignment horizontal="center" wrapText="1"/>
    </xf>
    <xf numFmtId="0" fontId="109" fillId="20" borderId="0" xfId="0" applyFont="1" applyFill="1" applyAlignment="1">
      <alignment wrapText="1"/>
    </xf>
    <xf numFmtId="0" fontId="109" fillId="20" borderId="0" xfId="0" applyFont="1" applyFill="1"/>
    <xf numFmtId="0" fontId="109" fillId="0" borderId="0" xfId="0" applyFont="1" applyAlignment="1">
      <alignment horizontal="center" wrapText="1"/>
    </xf>
    <xf numFmtId="166" fontId="41" fillId="0" borderId="0" xfId="0" applyNumberFormat="1" applyFont="1" applyAlignment="1">
      <alignment horizontal="left" wrapText="1"/>
    </xf>
    <xf numFmtId="0" fontId="41" fillId="0" borderId="0" xfId="0" applyFont="1" applyAlignment="1">
      <alignment horizontal="left" wrapText="1"/>
    </xf>
    <xf numFmtId="0" fontId="41" fillId="0" borderId="0" xfId="0" applyFont="1" applyAlignment="1">
      <alignment horizontal="right" wrapText="1"/>
    </xf>
    <xf numFmtId="20" fontId="41" fillId="0" borderId="0" xfId="0" applyNumberFormat="1" applyFont="1" applyAlignment="1">
      <alignment horizontal="left" wrapText="1"/>
    </xf>
    <xf numFmtId="20" fontId="18" fillId="0" borderId="0" xfId="0" applyNumberFormat="1" applyFont="1" applyAlignment="1">
      <alignment horizontal="left" wrapText="1"/>
    </xf>
    <xf numFmtId="0" fontId="25" fillId="0" borderId="0" xfId="0" applyFont="1" applyAlignment="1">
      <alignment horizontal="left" vertical="center" wrapText="1"/>
    </xf>
    <xf numFmtId="166" fontId="27" fillId="0" borderId="0" xfId="0" applyNumberFormat="1" applyFont="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horizontal="right" vertical="center" wrapText="1"/>
    </xf>
    <xf numFmtId="20" fontId="27" fillId="0" borderId="0" xfId="0" applyNumberFormat="1" applyFont="1" applyAlignment="1">
      <alignment horizontal="left" vertical="center" wrapText="1"/>
    </xf>
    <xf numFmtId="20" fontId="25" fillId="0" borderId="0" xfId="0" applyNumberFormat="1" applyFont="1" applyAlignment="1">
      <alignment horizontal="left" vertical="center" wrapText="1"/>
    </xf>
    <xf numFmtId="0" fontId="1" fillId="14" borderId="50" xfId="0" applyFont="1" applyFill="1" applyBorder="1" applyAlignment="1">
      <alignment vertical="center" wrapText="1"/>
    </xf>
    <xf numFmtId="14" fontId="26" fillId="0" borderId="0" xfId="0" applyNumberFormat="1" applyFont="1" applyAlignment="1">
      <alignment horizontal="left" vertical="center"/>
    </xf>
    <xf numFmtId="20" fontId="14" fillId="21" borderId="0" xfId="0" applyNumberFormat="1" applyFont="1" applyFill="1" applyAlignment="1">
      <alignment horizontal="left" vertical="center"/>
    </xf>
    <xf numFmtId="0" fontId="21" fillId="21" borderId="0" xfId="0" applyFont="1" applyFill="1" applyAlignment="1">
      <alignment horizontal="left" vertical="center"/>
    </xf>
    <xf numFmtId="0" fontId="26" fillId="21" borderId="0" xfId="0" applyFont="1" applyFill="1" applyAlignment="1">
      <alignment vertical="center" wrapText="1"/>
    </xf>
    <xf numFmtId="0" fontId="25" fillId="21" borderId="0" xfId="0" applyFont="1" applyFill="1" applyAlignment="1">
      <alignment vertical="center"/>
    </xf>
    <xf numFmtId="0" fontId="205" fillId="0" borderId="0" xfId="0" applyFont="1" applyAlignment="1">
      <alignment horizontal="center" vertical="center"/>
    </xf>
    <xf numFmtId="166" fontId="9" fillId="20" borderId="0" xfId="0" applyNumberFormat="1" applyFont="1" applyFill="1" applyAlignment="1">
      <alignment vertical="center"/>
    </xf>
    <xf numFmtId="0" fontId="266" fillId="20" borderId="0" xfId="0" applyFont="1" applyFill="1" applyAlignment="1">
      <alignment wrapText="1"/>
    </xf>
    <xf numFmtId="0" fontId="60" fillId="20" borderId="0" xfId="258" applyFill="1" applyAlignment="1" applyProtection="1">
      <alignment vertical="top"/>
    </xf>
    <xf numFmtId="0" fontId="111" fillId="3" borderId="0" xfId="0" applyFont="1" applyFill="1" applyAlignment="1">
      <alignment horizontal="center" vertical="center"/>
    </xf>
    <xf numFmtId="0" fontId="70" fillId="3" borderId="35" xfId="0" applyFont="1" applyFill="1" applyBorder="1" applyAlignment="1">
      <alignment vertical="center" wrapText="1"/>
    </xf>
    <xf numFmtId="0" fontId="0" fillId="3" borderId="0" xfId="0" applyFill="1" applyAlignment="1">
      <alignment vertical="center"/>
    </xf>
    <xf numFmtId="0" fontId="0" fillId="20" borderId="0" xfId="0" applyFill="1" applyAlignment="1">
      <alignment vertical="top" wrapText="1"/>
    </xf>
    <xf numFmtId="0" fontId="75" fillId="20" borderId="0" xfId="0" applyFont="1" applyFill="1" applyAlignment="1">
      <alignment vertical="center"/>
    </xf>
    <xf numFmtId="0" fontId="14" fillId="7" borderId="0" xfId="0" applyFont="1" applyFill="1" applyAlignment="1" applyProtection="1">
      <alignment horizontal="left" vertical="center"/>
      <protection locked="0"/>
    </xf>
    <xf numFmtId="20" fontId="0" fillId="3" borderId="0" xfId="0" applyNumberFormat="1" applyFill="1" applyAlignment="1">
      <alignment horizontal="left" vertical="center"/>
    </xf>
    <xf numFmtId="0" fontId="1" fillId="14" borderId="50" xfId="0" applyFont="1" applyFill="1" applyBorder="1" applyAlignment="1">
      <alignment wrapText="1"/>
    </xf>
    <xf numFmtId="166" fontId="41" fillId="0" borderId="0" xfId="0" applyNumberFormat="1" applyFont="1" applyAlignment="1">
      <alignment horizontal="center" vertical="center" wrapText="1"/>
    </xf>
    <xf numFmtId="166" fontId="134" fillId="20" borderId="0" xfId="0" applyNumberFormat="1" applyFont="1" applyFill="1"/>
    <xf numFmtId="0" fontId="15" fillId="13" borderId="34" xfId="0" applyFont="1" applyFill="1" applyBorder="1" applyAlignment="1">
      <alignment vertical="top" wrapText="1"/>
    </xf>
    <xf numFmtId="0" fontId="0" fillId="13" borderId="0" xfId="0" applyFill="1" applyAlignment="1">
      <alignment vertical="center"/>
    </xf>
    <xf numFmtId="0" fontId="113" fillId="3" borderId="35" xfId="0" applyFont="1" applyFill="1" applyBorder="1" applyAlignment="1">
      <alignment vertical="top" wrapText="1"/>
    </xf>
    <xf numFmtId="0" fontId="15" fillId="14" borderId="50" xfId="0" applyFont="1" applyFill="1" applyBorder="1" applyAlignment="1">
      <alignment vertical="top" wrapText="1"/>
    </xf>
    <xf numFmtId="0" fontId="0" fillId="14" borderId="0" xfId="0" applyFill="1" applyAlignment="1">
      <alignment vertical="center"/>
    </xf>
    <xf numFmtId="166" fontId="111" fillId="11" borderId="0" xfId="0" applyNumberFormat="1" applyFont="1" applyFill="1" applyAlignment="1">
      <alignment horizontal="center"/>
    </xf>
    <xf numFmtId="0" fontId="111" fillId="11" borderId="0" xfId="0" applyFont="1" applyFill="1" applyAlignment="1">
      <alignment horizontal="center"/>
    </xf>
    <xf numFmtId="1" fontId="111" fillId="11" borderId="0" xfId="0" applyNumberFormat="1" applyFont="1" applyFill="1" applyAlignment="1">
      <alignment horizontal="center"/>
    </xf>
    <xf numFmtId="0" fontId="102" fillId="11" borderId="0" xfId="0" applyFont="1" applyFill="1"/>
    <xf numFmtId="166" fontId="111" fillId="11" borderId="0" xfId="0" applyNumberFormat="1" applyFont="1" applyFill="1" applyAlignment="1">
      <alignment horizontal="left"/>
    </xf>
    <xf numFmtId="0" fontId="111" fillId="11" borderId="0" xfId="0" applyFont="1" applyFill="1"/>
    <xf numFmtId="49" fontId="0" fillId="12" borderId="0" xfId="0" applyNumberFormat="1" applyFill="1" applyAlignment="1">
      <alignment horizontal="center" vertical="top"/>
    </xf>
    <xf numFmtId="0" fontId="272" fillId="12" borderId="0" xfId="258" applyFont="1" applyFill="1" applyAlignment="1" applyProtection="1">
      <alignment horizontal="left" vertical="center"/>
      <protection locked="0"/>
    </xf>
    <xf numFmtId="0" fontId="181" fillId="12" borderId="0" xfId="0" applyFont="1" applyFill="1" applyAlignment="1">
      <alignment horizontal="left" vertical="center" indent="2"/>
    </xf>
    <xf numFmtId="0" fontId="276" fillId="12" borderId="0" xfId="0" applyFont="1" applyFill="1" applyAlignment="1">
      <alignment vertical="top" wrapText="1"/>
    </xf>
    <xf numFmtId="0" fontId="272" fillId="0" borderId="0" xfId="258" applyFont="1" applyFill="1" applyAlignment="1" applyProtection="1">
      <alignment horizontal="left" wrapText="1" indent="4"/>
      <protection locked="0"/>
    </xf>
    <xf numFmtId="0" fontId="273" fillId="0" borderId="0" xfId="0" applyFont="1" applyAlignment="1">
      <alignment horizontal="left" vertical="top" wrapText="1"/>
    </xf>
    <xf numFmtId="0" fontId="79" fillId="0" borderId="0" xfId="0" applyFont="1" applyAlignment="1">
      <alignment vertical="center"/>
    </xf>
    <xf numFmtId="0" fontId="183" fillId="20" borderId="0" xfId="0" applyFont="1" applyFill="1" applyAlignment="1">
      <alignment vertical="center" wrapText="1"/>
    </xf>
    <xf numFmtId="0" fontId="41" fillId="0" borderId="11" xfId="0" applyFont="1" applyBorder="1" applyAlignment="1">
      <alignment horizontal="center" vertical="center" wrapText="1"/>
    </xf>
    <xf numFmtId="0" fontId="41" fillId="0" borderId="26" xfId="0" applyFont="1" applyBorder="1" applyAlignment="1">
      <alignment horizontal="center" vertical="center" wrapText="1"/>
    </xf>
    <xf numFmtId="0" fontId="41" fillId="3" borderId="11" xfId="0" applyFont="1" applyFill="1" applyBorder="1" applyAlignment="1">
      <alignment horizontal="center" vertical="center" wrapText="1"/>
    </xf>
    <xf numFmtId="0" fontId="41" fillId="0" borderId="41" xfId="0" applyFont="1" applyBorder="1" applyAlignment="1">
      <alignment horizontal="center" vertical="top" wrapText="1"/>
    </xf>
    <xf numFmtId="0" fontId="96" fillId="0" borderId="11" xfId="0" applyFont="1" applyBorder="1" applyAlignment="1">
      <alignment horizontal="center" vertical="center" wrapText="1"/>
    </xf>
    <xf numFmtId="0" fontId="41" fillId="2" borderId="11" xfId="0" applyFont="1" applyFill="1" applyBorder="1" applyAlignment="1">
      <alignment horizontal="center" vertical="center" wrapText="1"/>
    </xf>
    <xf numFmtId="0" fontId="97" fillId="0" borderId="0" xfId="0" applyFont="1" applyAlignment="1">
      <alignment horizontal="center" vertical="center" wrapText="1"/>
    </xf>
    <xf numFmtId="0" fontId="277" fillId="18" borderId="0" xfId="0" applyFont="1" applyFill="1" applyAlignment="1">
      <alignment horizontal="right" wrapText="1"/>
    </xf>
    <xf numFmtId="166" fontId="277" fillId="18" borderId="0" xfId="0" applyNumberFormat="1" applyFont="1" applyFill="1" applyAlignment="1">
      <alignment horizontal="left" indent="1"/>
    </xf>
    <xf numFmtId="0" fontId="277" fillId="18" borderId="0" xfId="0" applyFont="1" applyFill="1" applyAlignment="1">
      <alignment horizontal="left" wrapText="1"/>
    </xf>
    <xf numFmtId="14" fontId="15" fillId="21" borderId="0" xfId="0" applyNumberFormat="1" applyFont="1" applyFill="1" applyAlignment="1" applyProtection="1">
      <alignment horizontal="left" vertical="center"/>
      <protection locked="0"/>
    </xf>
    <xf numFmtId="0" fontId="0" fillId="15" borderId="0" xfId="0" applyFill="1" applyAlignment="1">
      <alignment horizontal="left" vertical="top"/>
    </xf>
    <xf numFmtId="0" fontId="170" fillId="15" borderId="0" xfId="0" applyFont="1" applyFill="1" applyAlignment="1">
      <alignment horizontal="center" vertical="top" wrapText="1"/>
    </xf>
    <xf numFmtId="49" fontId="75" fillId="15" borderId="0" xfId="0" applyNumberFormat="1" applyFont="1" applyFill="1" applyAlignment="1">
      <alignment horizontal="center" vertical="top"/>
    </xf>
    <xf numFmtId="0" fontId="0" fillId="15" borderId="0" xfId="0" applyFill="1" applyAlignment="1">
      <alignment vertical="top" wrapText="1"/>
    </xf>
    <xf numFmtId="0" fontId="116" fillId="15" borderId="0" xfId="0" applyFont="1" applyFill="1" applyAlignment="1">
      <alignment vertical="top"/>
    </xf>
    <xf numFmtId="0" fontId="0" fillId="15" borderId="0" xfId="0" applyFill="1" applyAlignment="1">
      <alignment horizontal="left" vertical="top" wrapText="1"/>
    </xf>
    <xf numFmtId="0" fontId="0" fillId="13" borderId="0" xfId="0" applyFill="1" applyAlignment="1">
      <alignment horizontal="left" vertical="top"/>
    </xf>
    <xf numFmtId="0" fontId="170" fillId="13" borderId="0" xfId="0" applyFont="1" applyFill="1" applyAlignment="1">
      <alignment horizontal="center" vertical="top" wrapText="1"/>
    </xf>
    <xf numFmtId="0" fontId="75" fillId="13" borderId="0" xfId="0" applyFont="1" applyFill="1" applyAlignment="1">
      <alignment horizontal="center" vertical="top"/>
    </xf>
    <xf numFmtId="0" fontId="150" fillId="13" borderId="0" xfId="0" applyFont="1" applyFill="1" applyAlignment="1">
      <alignment horizontal="left" vertical="top" wrapText="1"/>
    </xf>
    <xf numFmtId="49" fontId="75" fillId="13" borderId="0" xfId="0" applyNumberFormat="1" applyFont="1" applyFill="1" applyAlignment="1">
      <alignment horizontal="center" vertical="top"/>
    </xf>
    <xf numFmtId="0" fontId="0" fillId="13" borderId="0" xfId="0" applyFill="1" applyAlignment="1">
      <alignment vertical="top" wrapText="1"/>
    </xf>
    <xf numFmtId="0" fontId="116" fillId="13" borderId="0" xfId="0" applyFont="1" applyFill="1" applyAlignment="1">
      <alignment vertical="top"/>
    </xf>
    <xf numFmtId="0" fontId="0" fillId="13" borderId="0" xfId="0" applyFill="1" applyAlignment="1">
      <alignment horizontal="left" vertical="top" wrapText="1"/>
    </xf>
    <xf numFmtId="0" fontId="75" fillId="0" borderId="0" xfId="0" applyFont="1" applyAlignment="1">
      <alignment horizontal="center" vertical="top"/>
    </xf>
    <xf numFmtId="0" fontId="116" fillId="0" borderId="0" xfId="0" applyFont="1" applyAlignment="1">
      <alignment vertical="top"/>
    </xf>
    <xf numFmtId="0" fontId="152" fillId="0" borderId="0" xfId="0" applyFont="1" applyAlignment="1">
      <alignment horizontal="left" vertical="top" wrapText="1"/>
    </xf>
    <xf numFmtId="0" fontId="0" fillId="0" borderId="0" xfId="0" applyAlignment="1" applyProtection="1">
      <alignment horizontal="left" vertical="center"/>
      <protection locked="0"/>
    </xf>
    <xf numFmtId="49" fontId="131" fillId="0" borderId="0" xfId="0" applyNumberFormat="1" applyFont="1" applyAlignment="1">
      <alignment vertical="center" wrapText="1"/>
    </xf>
    <xf numFmtId="49" fontId="0" fillId="0" borderId="0" xfId="0" applyNumberFormat="1" applyAlignment="1">
      <alignment vertical="center"/>
    </xf>
    <xf numFmtId="49" fontId="2" fillId="13" borderId="0" xfId="0" applyNumberFormat="1" applyFont="1" applyFill="1" applyAlignment="1">
      <alignment vertical="top"/>
    </xf>
    <xf numFmtId="49" fontId="111" fillId="13" borderId="0" xfId="0" applyNumberFormat="1" applyFont="1" applyFill="1" applyAlignment="1">
      <alignment vertical="top"/>
    </xf>
    <xf numFmtId="49" fontId="111" fillId="0" borderId="0" xfId="0" applyNumberFormat="1" applyFont="1" applyAlignment="1">
      <alignment vertical="top"/>
    </xf>
    <xf numFmtId="49" fontId="2" fillId="15" borderId="0" xfId="0" applyNumberFormat="1" applyFont="1" applyFill="1" applyAlignment="1">
      <alignment horizontal="left" vertical="top"/>
    </xf>
    <xf numFmtId="49" fontId="2" fillId="15" borderId="0" xfId="0" applyNumberFormat="1" applyFont="1" applyFill="1" applyAlignment="1">
      <alignment vertical="top"/>
    </xf>
    <xf numFmtId="49" fontId="0" fillId="0" borderId="0" xfId="0" applyNumberFormat="1"/>
    <xf numFmtId="0" fontId="175" fillId="15" borderId="0" xfId="0" applyFont="1" applyFill="1" applyAlignment="1">
      <alignment vertical="top"/>
    </xf>
    <xf numFmtId="0" fontId="175" fillId="13" borderId="0" xfId="0" applyFont="1" applyFill="1" applyAlignment="1">
      <alignment vertical="top"/>
    </xf>
    <xf numFmtId="0" fontId="175" fillId="11" borderId="0" xfId="0" applyFont="1" applyFill="1" applyAlignment="1">
      <alignment horizontal="left" vertical="center" wrapText="1"/>
    </xf>
    <xf numFmtId="49" fontId="131" fillId="11" borderId="0" xfId="0" applyNumberFormat="1" applyFont="1" applyFill="1" applyAlignment="1">
      <alignment vertical="center" wrapText="1"/>
    </xf>
    <xf numFmtId="0" fontId="131" fillId="11" borderId="0" xfId="0" applyFont="1" applyFill="1" applyAlignment="1">
      <alignment vertical="center" wrapText="1"/>
    </xf>
    <xf numFmtId="0" fontId="150" fillId="11" borderId="0" xfId="0" applyFont="1" applyFill="1" applyAlignment="1">
      <alignment horizontal="left" vertical="center" wrapText="1"/>
    </xf>
    <xf numFmtId="0" fontId="150" fillId="12" borderId="0" xfId="0" applyFont="1" applyFill="1" applyAlignment="1">
      <alignment horizontal="center" vertical="top" wrapText="1"/>
    </xf>
    <xf numFmtId="0" fontId="0" fillId="0" borderId="0" xfId="0" applyAlignment="1">
      <alignment horizontal="center" vertical="top" textRotation="255"/>
    </xf>
    <xf numFmtId="0" fontId="0" fillId="24" borderId="0" xfId="0" applyFill="1" applyAlignment="1">
      <alignment horizontal="left" vertical="top" wrapText="1"/>
    </xf>
    <xf numFmtId="0" fontId="0" fillId="24" borderId="0" xfId="0" applyFill="1" applyAlignment="1">
      <alignment horizontal="left" vertical="center"/>
    </xf>
    <xf numFmtId="166" fontId="148" fillId="7" borderId="7" xfId="0" applyNumberFormat="1" applyFont="1" applyFill="1" applyBorder="1" applyAlignment="1" applyProtection="1">
      <alignment horizontal="center" vertical="center"/>
      <protection locked="0"/>
    </xf>
    <xf numFmtId="166" fontId="148" fillId="7" borderId="13" xfId="0" applyNumberFormat="1" applyFont="1" applyFill="1" applyBorder="1" applyAlignment="1" applyProtection="1">
      <alignment horizontal="center" vertical="center"/>
      <protection locked="0"/>
    </xf>
    <xf numFmtId="0" fontId="131" fillId="0" borderId="15" xfId="0" applyFont="1" applyBorder="1" applyAlignment="1">
      <alignment horizontal="left" vertical="center" wrapText="1"/>
    </xf>
    <xf numFmtId="0" fontId="131" fillId="0" borderId="16" xfId="0" applyFont="1" applyBorder="1" applyAlignment="1">
      <alignment horizontal="left" vertical="center" wrapText="1"/>
    </xf>
    <xf numFmtId="0" fontId="189" fillId="0" borderId="15" xfId="0" applyFont="1" applyBorder="1" applyAlignment="1">
      <alignment horizontal="center" vertical="center" wrapText="1"/>
    </xf>
    <xf numFmtId="0" fontId="189" fillId="0" borderId="32" xfId="0" applyFont="1" applyBorder="1" applyAlignment="1">
      <alignment horizontal="center" vertical="center" wrapText="1"/>
    </xf>
    <xf numFmtId="166" fontId="7" fillId="7" borderId="0" xfId="0" applyNumberFormat="1" applyFont="1" applyFill="1" applyAlignment="1" applyProtection="1">
      <alignment horizontal="left" vertical="center"/>
      <protection locked="0"/>
    </xf>
    <xf numFmtId="166" fontId="14" fillId="7" borderId="0" xfId="0" applyNumberFormat="1" applyFont="1" applyFill="1" applyAlignment="1" applyProtection="1">
      <alignment horizontal="left" vertical="center"/>
      <protection locked="0"/>
    </xf>
    <xf numFmtId="0" fontId="135" fillId="7" borderId="15" xfId="0" applyFont="1" applyFill="1" applyBorder="1" applyAlignment="1">
      <alignment horizontal="center" vertical="center" wrapText="1"/>
    </xf>
    <xf numFmtId="0" fontId="135" fillId="7" borderId="4" xfId="0" applyFont="1" applyFill="1" applyBorder="1" applyAlignment="1">
      <alignment horizontal="center" vertical="center" wrapText="1"/>
    </xf>
    <xf numFmtId="166" fontId="10" fillId="12" borderId="0" xfId="0" applyNumberFormat="1" applyFont="1" applyFill="1" applyAlignment="1">
      <alignment horizontal="left" vertical="center" wrapText="1"/>
    </xf>
    <xf numFmtId="0" fontId="14" fillId="7" borderId="0" xfId="0" applyFont="1" applyFill="1" applyAlignment="1" applyProtection="1">
      <alignment horizontal="left" vertical="center"/>
      <protection locked="0"/>
    </xf>
    <xf numFmtId="0" fontId="215" fillId="7" borderId="32" xfId="0" applyFont="1" applyFill="1" applyBorder="1" applyAlignment="1">
      <alignment horizontal="center" vertical="center" wrapText="1"/>
    </xf>
    <xf numFmtId="0" fontId="215" fillId="7" borderId="10" xfId="0" applyFont="1" applyFill="1" applyBorder="1" applyAlignment="1">
      <alignment horizontal="center" vertical="center" wrapText="1"/>
    </xf>
    <xf numFmtId="166" fontId="27" fillId="7" borderId="34" xfId="0" applyNumberFormat="1" applyFont="1" applyFill="1" applyBorder="1" applyAlignment="1" applyProtection="1">
      <alignment horizontal="center" vertical="center"/>
      <protection locked="0"/>
    </xf>
    <xf numFmtId="166" fontId="27" fillId="7" borderId="65" xfId="0" applyNumberFormat="1" applyFont="1" applyFill="1" applyBorder="1" applyAlignment="1" applyProtection="1">
      <alignment horizontal="center" vertical="center"/>
      <protection locked="0"/>
    </xf>
    <xf numFmtId="0" fontId="27" fillId="7" borderId="29" xfId="0" applyFont="1" applyFill="1" applyBorder="1" applyAlignment="1" applyProtection="1">
      <alignment horizontal="left" vertical="center"/>
      <protection locked="0"/>
    </xf>
    <xf numFmtId="0" fontId="27" fillId="7" borderId="18" xfId="0" applyFont="1" applyFill="1" applyBorder="1" applyAlignment="1" applyProtection="1">
      <alignment horizontal="left" vertical="center"/>
      <protection locked="0"/>
    </xf>
    <xf numFmtId="0" fontId="47" fillId="0" borderId="0" xfId="0" applyFont="1" applyAlignment="1">
      <alignment horizontal="left" wrapText="1"/>
    </xf>
    <xf numFmtId="14" fontId="47" fillId="0" borderId="0" xfId="0" applyNumberFormat="1" applyFont="1" applyAlignment="1">
      <alignment horizontal="left" wrapText="1"/>
    </xf>
    <xf numFmtId="20" fontId="47" fillId="0" borderId="0" xfId="0" applyNumberFormat="1" applyFont="1" applyAlignment="1">
      <alignment horizontal="left" wrapText="1"/>
    </xf>
    <xf numFmtId="0" fontId="100" fillId="0" borderId="0" xfId="0" applyFont="1" applyAlignment="1">
      <alignment horizontal="left" vertical="top" wrapText="1"/>
    </xf>
    <xf numFmtId="0" fontId="19" fillId="0" borderId="0" xfId="0" applyFont="1" applyAlignment="1">
      <alignment horizontal="left" wrapText="1"/>
    </xf>
    <xf numFmtId="0" fontId="22" fillId="0" borderId="42" xfId="0" applyFont="1" applyBorder="1" applyAlignment="1">
      <alignment horizontal="left" wrapText="1"/>
    </xf>
    <xf numFmtId="0" fontId="22" fillId="0" borderId="0" xfId="0" applyFont="1" applyAlignment="1">
      <alignment horizontal="left" wrapText="1"/>
    </xf>
    <xf numFmtId="0" fontId="48" fillId="0" borderId="1" xfId="0" applyFont="1" applyBorder="1" applyAlignment="1">
      <alignment horizontal="center"/>
    </xf>
    <xf numFmtId="0" fontId="48" fillId="0" borderId="23" xfId="0" applyFont="1" applyBorder="1" applyAlignment="1">
      <alignment horizontal="center"/>
    </xf>
    <xf numFmtId="0" fontId="48" fillId="0" borderId="11" xfId="0" applyFont="1" applyBorder="1" applyAlignment="1">
      <alignment horizontal="center"/>
    </xf>
    <xf numFmtId="0" fontId="19" fillId="0" borderId="0" xfId="0" applyFont="1" applyAlignment="1">
      <alignment horizontal="right" vertical="center" wrapText="1"/>
    </xf>
    <xf numFmtId="0" fontId="27" fillId="0" borderId="0" xfId="0" applyFont="1" applyAlignment="1">
      <alignment horizontal="left" vertical="top" wrapText="1"/>
    </xf>
    <xf numFmtId="0" fontId="27" fillId="0" borderId="27" xfId="0" applyFont="1" applyBorder="1" applyAlignment="1">
      <alignment horizontal="left" vertical="top" wrapText="1"/>
    </xf>
    <xf numFmtId="0" fontId="41" fillId="0" borderId="42" xfId="0" applyFont="1" applyBorder="1" applyAlignment="1">
      <alignment horizontal="left" vertical="top" wrapText="1"/>
    </xf>
    <xf numFmtId="0" fontId="41" fillId="0" borderId="0" xfId="0" applyFont="1" applyAlignment="1">
      <alignment horizontal="left" vertical="top" wrapText="1"/>
    </xf>
    <xf numFmtId="0" fontId="130" fillId="0" borderId="42" xfId="0" applyFont="1" applyBorder="1" applyAlignment="1">
      <alignment horizontal="left" vertical="center"/>
    </xf>
    <xf numFmtId="0" fontId="130" fillId="0" borderId="0" xfId="0" applyFont="1" applyAlignment="1">
      <alignment horizontal="left" vertical="center"/>
    </xf>
    <xf numFmtId="0" fontId="130" fillId="0" borderId="0" xfId="0" applyFont="1" applyAlignment="1">
      <alignment horizontal="left" vertical="center" wrapText="1"/>
    </xf>
    <xf numFmtId="49" fontId="22" fillId="15" borderId="15" xfId="0" applyNumberFormat="1" applyFont="1" applyFill="1" applyBorder="1" applyAlignment="1">
      <alignment horizontal="center" vertical="top" wrapText="1"/>
    </xf>
    <xf numFmtId="49" fontId="22" fillId="15" borderId="16" xfId="0" applyNumberFormat="1" applyFont="1" applyFill="1" applyBorder="1" applyAlignment="1">
      <alignment horizontal="center" vertical="top" wrapText="1"/>
    </xf>
    <xf numFmtId="49" fontId="22" fillId="15" borderId="17" xfId="0" applyNumberFormat="1" applyFont="1" applyFill="1" applyBorder="1" applyAlignment="1">
      <alignment horizontal="center" vertical="top" wrapText="1"/>
    </xf>
    <xf numFmtId="0" fontId="18" fillId="0" borderId="42" xfId="0" applyFont="1" applyBorder="1" applyAlignment="1">
      <alignment horizontal="left" vertical="top" wrapText="1"/>
    </xf>
    <xf numFmtId="0" fontId="18" fillId="0" borderId="0" xfId="0" applyFont="1" applyAlignment="1">
      <alignment horizontal="left" vertical="top" wrapText="1"/>
    </xf>
    <xf numFmtId="0" fontId="27" fillId="7" borderId="32" xfId="0" applyFont="1" applyFill="1" applyBorder="1" applyAlignment="1" applyProtection="1">
      <alignment horizontal="left" vertical="top" wrapText="1"/>
      <protection locked="0"/>
    </xf>
    <xf numFmtId="0" fontId="27" fillId="7" borderId="4" xfId="0" applyFont="1" applyFill="1" applyBorder="1" applyAlignment="1" applyProtection="1">
      <alignment horizontal="left" vertical="top" wrapText="1"/>
      <protection locked="0"/>
    </xf>
    <xf numFmtId="0" fontId="203" fillId="7" borderId="32" xfId="0" applyFont="1" applyFill="1" applyBorder="1" applyAlignment="1" applyProtection="1">
      <alignment horizontal="left" vertical="top" wrapText="1"/>
      <protection locked="0"/>
    </xf>
    <xf numFmtId="0" fontId="203" fillId="7" borderId="4" xfId="0" applyFont="1" applyFill="1" applyBorder="1" applyAlignment="1" applyProtection="1">
      <alignment horizontal="left" vertical="top" wrapText="1"/>
      <protection locked="0"/>
    </xf>
    <xf numFmtId="0" fontId="205" fillId="7" borderId="79" xfId="0" applyFont="1" applyFill="1" applyBorder="1" applyAlignment="1" applyProtection="1">
      <alignment horizontal="left" vertical="top" wrapText="1"/>
      <protection locked="0"/>
    </xf>
    <xf numFmtId="0" fontId="205" fillId="7" borderId="32" xfId="0" applyFont="1" applyFill="1" applyBorder="1" applyAlignment="1" applyProtection="1">
      <alignment horizontal="left" vertical="top" wrapText="1"/>
      <protection locked="0"/>
    </xf>
    <xf numFmtId="0" fontId="205" fillId="7" borderId="4" xfId="0" applyFont="1" applyFill="1" applyBorder="1" applyAlignment="1" applyProtection="1">
      <alignment horizontal="left" vertical="top" wrapText="1"/>
      <protection locked="0"/>
    </xf>
    <xf numFmtId="0" fontId="100" fillId="0" borderId="0" xfId="0" applyFont="1" applyAlignment="1">
      <alignment horizontal="left" wrapText="1"/>
    </xf>
    <xf numFmtId="0" fontId="48" fillId="0" borderId="38" xfId="0" applyFont="1" applyBorder="1" applyAlignment="1">
      <alignment horizontal="center"/>
    </xf>
    <xf numFmtId="0" fontId="48" fillId="0" borderId="73" xfId="0" applyFont="1" applyBorder="1" applyAlignment="1">
      <alignment horizontal="center"/>
    </xf>
    <xf numFmtId="0" fontId="48" fillId="0" borderId="52" xfId="0" applyFont="1" applyBorder="1" applyAlignment="1">
      <alignment horizontal="center"/>
    </xf>
    <xf numFmtId="0" fontId="48" fillId="0" borderId="8" xfId="0" applyFont="1" applyBorder="1" applyAlignment="1">
      <alignment horizontal="center"/>
    </xf>
    <xf numFmtId="166" fontId="47" fillId="0" borderId="0" xfId="0" applyNumberFormat="1" applyFont="1" applyAlignment="1">
      <alignment horizontal="left" wrapText="1"/>
    </xf>
    <xf numFmtId="0" fontId="9" fillId="11" borderId="47" xfId="0" applyFont="1" applyFill="1" applyBorder="1" applyAlignment="1">
      <alignment horizontal="left" vertical="center" wrapText="1"/>
    </xf>
    <xf numFmtId="0" fontId="9" fillId="11" borderId="18" xfId="0" applyFont="1" applyFill="1" applyBorder="1" applyAlignment="1">
      <alignment horizontal="left" vertical="center" wrapText="1"/>
    </xf>
    <xf numFmtId="0" fontId="47" fillId="0" borderId="0" xfId="0" applyFont="1" applyAlignment="1">
      <alignment vertical="top" wrapText="1"/>
    </xf>
    <xf numFmtId="0" fontId="45" fillId="0" borderId="0" xfId="0" applyFont="1" applyAlignment="1">
      <alignment vertical="top" wrapText="1"/>
    </xf>
    <xf numFmtId="0" fontId="138" fillId="0" borderId="42" xfId="0" applyFont="1" applyBorder="1" applyAlignment="1">
      <alignment horizontal="left" vertical="center"/>
    </xf>
    <xf numFmtId="0" fontId="138" fillId="0" borderId="0" xfId="0" applyFont="1" applyAlignment="1">
      <alignment horizontal="left" vertical="center"/>
    </xf>
    <xf numFmtId="0" fontId="115" fillId="0" borderId="0" xfId="0" applyFont="1" applyAlignment="1">
      <alignment horizontal="left" indent="15"/>
    </xf>
    <xf numFmtId="49" fontId="42" fillId="15" borderId="27" xfId="0" applyNumberFormat="1" applyFont="1" applyFill="1" applyBorder="1" applyAlignment="1" applyProtection="1">
      <alignment horizontal="center" vertical="top" wrapText="1"/>
      <protection locked="0"/>
    </xf>
    <xf numFmtId="49" fontId="42" fillId="15" borderId="35" xfId="0" applyNumberFormat="1" applyFont="1" applyFill="1" applyBorder="1" applyAlignment="1" applyProtection="1">
      <alignment horizontal="center" vertical="top" wrapText="1"/>
      <protection locked="0"/>
    </xf>
    <xf numFmtId="20" fontId="14" fillId="7" borderId="0" xfId="0" applyNumberFormat="1" applyFont="1" applyFill="1" applyAlignment="1" applyProtection="1">
      <alignment horizontal="left" vertical="center"/>
      <protection locked="0"/>
    </xf>
    <xf numFmtId="0" fontId="14" fillId="21" borderId="0" xfId="0" applyFont="1" applyFill="1" applyAlignment="1" applyProtection="1">
      <alignment horizontal="left" vertical="center"/>
      <protection locked="0"/>
    </xf>
    <xf numFmtId="0" fontId="22" fillId="0" borderId="0" xfId="0" applyFont="1" applyAlignment="1">
      <alignment horizontal="left" vertical="center" indent="2"/>
    </xf>
    <xf numFmtId="49" fontId="42" fillId="15" borderId="58" xfId="0" applyNumberFormat="1" applyFont="1" applyFill="1" applyBorder="1" applyAlignment="1" applyProtection="1">
      <alignment horizontal="left" vertical="top" wrapText="1"/>
      <protection locked="0"/>
    </xf>
    <xf numFmtId="49" fontId="42" fillId="15" borderId="35" xfId="0" applyNumberFormat="1" applyFont="1" applyFill="1" applyBorder="1" applyAlignment="1" applyProtection="1">
      <alignment horizontal="left" vertical="top" wrapText="1"/>
      <protection locked="0"/>
    </xf>
    <xf numFmtId="49" fontId="42" fillId="15" borderId="57" xfId="0" applyNumberFormat="1" applyFont="1" applyFill="1" applyBorder="1" applyAlignment="1" applyProtection="1">
      <alignment horizontal="left" vertical="top" wrapText="1"/>
      <protection locked="0"/>
    </xf>
    <xf numFmtId="49" fontId="42" fillId="15" borderId="24" xfId="0" applyNumberFormat="1" applyFont="1" applyFill="1" applyBorder="1" applyAlignment="1" applyProtection="1">
      <alignment horizontal="left" vertical="top" wrapText="1"/>
      <protection locked="0"/>
    </xf>
    <xf numFmtId="49" fontId="42" fillId="15" borderId="27" xfId="0" applyNumberFormat="1" applyFont="1" applyFill="1" applyBorder="1" applyAlignment="1" applyProtection="1">
      <alignment horizontal="left" vertical="top" wrapText="1"/>
      <protection locked="0"/>
    </xf>
    <xf numFmtId="49" fontId="42" fillId="15" borderId="41" xfId="0" applyNumberFormat="1" applyFont="1" applyFill="1" applyBorder="1" applyAlignment="1" applyProtection="1">
      <alignment horizontal="left" vertical="top" wrapText="1"/>
      <protection locked="0"/>
    </xf>
    <xf numFmtId="49" fontId="42" fillId="17" borderId="61" xfId="0" applyNumberFormat="1" applyFont="1" applyFill="1" applyBorder="1" applyAlignment="1" applyProtection="1">
      <alignment horizontal="left" vertical="top" wrapText="1"/>
      <protection locked="0"/>
    </xf>
    <xf numFmtId="49" fontId="42" fillId="17" borderId="9" xfId="0" applyNumberFormat="1" applyFont="1" applyFill="1" applyBorder="1" applyAlignment="1" applyProtection="1">
      <alignment horizontal="left" vertical="top" wrapText="1"/>
      <protection locked="0"/>
    </xf>
    <xf numFmtId="49" fontId="42" fillId="17" borderId="62" xfId="0" applyNumberFormat="1" applyFont="1" applyFill="1" applyBorder="1" applyAlignment="1" applyProtection="1">
      <alignment horizontal="left" vertical="top" wrapText="1"/>
      <protection locked="0"/>
    </xf>
    <xf numFmtId="0" fontId="203" fillId="7" borderId="15" xfId="0" applyFont="1" applyFill="1" applyBorder="1" applyAlignment="1" applyProtection="1">
      <alignment horizontal="left" vertical="top" wrapText="1"/>
      <protection locked="0"/>
    </xf>
    <xf numFmtId="49" fontId="42" fillId="17" borderId="9" xfId="0" applyNumberFormat="1" applyFont="1" applyFill="1" applyBorder="1" applyAlignment="1" applyProtection="1">
      <alignment horizontal="center" vertical="top" wrapText="1"/>
      <protection locked="0"/>
    </xf>
    <xf numFmtId="0" fontId="203" fillId="7" borderId="79" xfId="0" applyFont="1" applyFill="1" applyBorder="1" applyAlignment="1" applyProtection="1">
      <alignment horizontal="left" vertical="top" wrapText="1"/>
      <protection locked="0"/>
    </xf>
    <xf numFmtId="0" fontId="18" fillId="0" borderId="0" xfId="0" applyFont="1" applyAlignment="1">
      <alignment horizontal="right" vertical="center"/>
    </xf>
    <xf numFmtId="0" fontId="19" fillId="0" borderId="0" xfId="0" applyFont="1" applyAlignment="1">
      <alignment horizontal="left" vertical="top" wrapText="1"/>
    </xf>
    <xf numFmtId="0" fontId="187" fillId="7" borderId="32" xfId="0" applyFont="1" applyFill="1" applyBorder="1" applyAlignment="1">
      <alignment horizontal="center" vertical="center" wrapText="1"/>
    </xf>
    <xf numFmtId="0" fontId="187" fillId="7" borderId="10" xfId="0" applyFont="1" applyFill="1" applyBorder="1" applyAlignment="1">
      <alignment horizontal="center" vertical="center" wrapText="1"/>
    </xf>
    <xf numFmtId="0" fontId="135" fillId="7" borderId="19" xfId="0" applyFont="1" applyFill="1" applyBorder="1" applyAlignment="1">
      <alignment horizontal="center" vertical="center" wrapText="1"/>
    </xf>
    <xf numFmtId="0" fontId="135" fillId="7" borderId="21" xfId="0" applyFont="1" applyFill="1" applyBorder="1" applyAlignment="1">
      <alignment horizontal="center" vertical="center" wrapText="1"/>
    </xf>
    <xf numFmtId="0" fontId="11" fillId="7" borderId="19" xfId="0" applyFont="1" applyFill="1" applyBorder="1" applyAlignment="1" applyProtection="1">
      <alignment horizontal="left" vertical="top" wrapText="1"/>
      <protection locked="0"/>
    </xf>
    <xf numFmtId="0" fontId="11" fillId="7" borderId="21" xfId="0" applyFont="1" applyFill="1" applyBorder="1" applyAlignment="1" applyProtection="1">
      <alignment horizontal="left" vertical="top" wrapText="1"/>
      <protection locked="0"/>
    </xf>
    <xf numFmtId="0" fontId="135" fillId="7" borderId="17" xfId="0" applyFont="1" applyFill="1" applyBorder="1" applyAlignment="1">
      <alignment horizontal="center" vertical="center" wrapText="1"/>
    </xf>
    <xf numFmtId="0" fontId="41" fillId="0" borderId="0" xfId="0" applyFont="1" applyAlignment="1">
      <alignment horizontal="right" vertical="top" wrapText="1"/>
    </xf>
    <xf numFmtId="0" fontId="100" fillId="0" borderId="0" xfId="0" applyFont="1" applyAlignment="1">
      <alignment horizontal="center" vertical="top" wrapText="1"/>
    </xf>
    <xf numFmtId="0" fontId="204" fillId="7" borderId="79" xfId="0" applyFont="1" applyFill="1" applyBorder="1" applyAlignment="1" applyProtection="1">
      <alignment horizontal="left" vertical="top" wrapText="1"/>
      <protection locked="0"/>
    </xf>
    <xf numFmtId="0" fontId="204" fillId="7" borderId="4" xfId="0" applyFont="1" applyFill="1" applyBorder="1" applyAlignment="1" applyProtection="1">
      <alignment horizontal="left" vertical="top" wrapText="1"/>
      <protection locked="0"/>
    </xf>
    <xf numFmtId="0" fontId="206" fillId="7" borderId="75" xfId="0" applyFont="1" applyFill="1" applyBorder="1" applyAlignment="1" applyProtection="1">
      <alignment horizontal="left" vertical="top" wrapText="1"/>
      <protection locked="0"/>
    </xf>
    <xf numFmtId="0" fontId="206" fillId="7" borderId="42" xfId="0" applyFont="1" applyFill="1" applyBorder="1" applyAlignment="1" applyProtection="1">
      <alignment horizontal="left" vertical="top" wrapText="1"/>
      <protection locked="0"/>
    </xf>
    <xf numFmtId="0" fontId="206" fillId="7" borderId="47" xfId="0" applyFont="1" applyFill="1" applyBorder="1" applyAlignment="1" applyProtection="1">
      <alignment horizontal="left" vertical="top" wrapText="1"/>
      <protection locked="0"/>
    </xf>
    <xf numFmtId="0" fontId="137" fillId="0" borderId="0" xfId="0" applyFont="1" applyAlignment="1">
      <alignment horizontal="left" vertical="center" wrapText="1"/>
    </xf>
    <xf numFmtId="0" fontId="129" fillId="17" borderId="5" xfId="0" applyFont="1" applyFill="1" applyBorder="1" applyAlignment="1">
      <alignment horizontal="center" vertical="top" wrapText="1"/>
    </xf>
    <xf numFmtId="0" fontId="129" fillId="17" borderId="9" xfId="0" applyFont="1" applyFill="1" applyBorder="1" applyAlignment="1">
      <alignment horizontal="center" vertical="top" wrapText="1"/>
    </xf>
    <xf numFmtId="0" fontId="129" fillId="15" borderId="63" xfId="0" applyFont="1" applyFill="1" applyBorder="1" applyAlignment="1">
      <alignment horizontal="center" vertical="top" wrapText="1"/>
    </xf>
    <xf numFmtId="0" fontId="129" fillId="15" borderId="34" xfId="0" applyFont="1" applyFill="1" applyBorder="1" applyAlignment="1">
      <alignment horizontal="center" vertical="top" wrapText="1"/>
    </xf>
    <xf numFmtId="0" fontId="129" fillId="15" borderId="59" xfId="0" applyFont="1" applyFill="1" applyBorder="1" applyAlignment="1">
      <alignment horizontal="center" vertical="top" wrapText="1"/>
    </xf>
    <xf numFmtId="0" fontId="129" fillId="15" borderId="50" xfId="0" applyFont="1" applyFill="1" applyBorder="1" applyAlignment="1">
      <alignment horizontal="center" vertical="top" wrapText="1"/>
    </xf>
    <xf numFmtId="0" fontId="129" fillId="15" borderId="64" xfId="0" applyFont="1" applyFill="1" applyBorder="1" applyAlignment="1">
      <alignment horizontal="center" vertical="top" wrapText="1"/>
    </xf>
    <xf numFmtId="0" fontId="129" fillId="15" borderId="35" xfId="0" applyFont="1" applyFill="1" applyBorder="1" applyAlignment="1">
      <alignment horizontal="center" vertical="top" wrapText="1"/>
    </xf>
    <xf numFmtId="166" fontId="14" fillId="7" borderId="0" xfId="0" applyNumberFormat="1" applyFont="1" applyFill="1" applyAlignment="1" applyProtection="1">
      <alignment horizontal="center" vertical="center"/>
      <protection locked="0"/>
    </xf>
    <xf numFmtId="0" fontId="21" fillId="0" borderId="0" xfId="0" applyFont="1" applyAlignment="1">
      <alignment horizontal="left" vertical="center"/>
    </xf>
    <xf numFmtId="0" fontId="18" fillId="0" borderId="40" xfId="0" applyFont="1" applyBorder="1" applyAlignment="1">
      <alignment horizontal="left" vertical="top" wrapText="1"/>
    </xf>
    <xf numFmtId="0" fontId="18" fillId="0" borderId="31" xfId="0" applyFont="1" applyBorder="1" applyAlignment="1">
      <alignment horizontal="left" vertical="top" wrapText="1"/>
    </xf>
    <xf numFmtId="0" fontId="27" fillId="0" borderId="31" xfId="0" applyFont="1" applyBorder="1" applyAlignment="1">
      <alignment horizontal="left" vertical="top" wrapText="1"/>
    </xf>
    <xf numFmtId="0" fontId="27" fillId="0" borderId="41" xfId="0" applyFont="1" applyBorder="1" applyAlignment="1">
      <alignment horizontal="left" vertical="top" wrapText="1"/>
    </xf>
    <xf numFmtId="0" fontId="22" fillId="0" borderId="63" xfId="0" applyFont="1" applyBorder="1" applyAlignment="1">
      <alignment horizontal="center" vertical="center" wrapText="1"/>
    </xf>
    <xf numFmtId="0" fontId="22" fillId="0" borderId="65" xfId="0" applyFont="1" applyBorder="1" applyAlignment="1">
      <alignment horizontal="center" vertical="center" wrapText="1"/>
    </xf>
    <xf numFmtId="166" fontId="24" fillId="12" borderId="16" xfId="0" applyNumberFormat="1" applyFont="1" applyFill="1" applyBorder="1" applyAlignment="1">
      <alignment horizontal="left" vertical="top" wrapText="1"/>
    </xf>
    <xf numFmtId="166" fontId="216" fillId="12" borderId="0" xfId="0" applyNumberFormat="1" applyFont="1" applyFill="1" applyAlignment="1">
      <alignment horizontal="left" vertical="top"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22" fillId="0" borderId="0" xfId="0" applyFont="1" applyAlignment="1">
      <alignment horizontal="left" vertical="center" wrapText="1"/>
    </xf>
    <xf numFmtId="0" fontId="18" fillId="0" borderId="0" xfId="0" applyFont="1" applyAlignment="1">
      <alignment horizontal="left" vertical="center" wrapText="1"/>
    </xf>
    <xf numFmtId="166" fontId="14" fillId="21" borderId="0" xfId="0" applyNumberFormat="1" applyFont="1" applyFill="1" applyAlignment="1" applyProtection="1">
      <alignment horizontal="left" vertical="center"/>
      <protection locked="0"/>
    </xf>
    <xf numFmtId="20" fontId="14" fillId="21" borderId="0" xfId="0" applyNumberFormat="1" applyFont="1" applyFill="1" applyAlignment="1" applyProtection="1">
      <alignment horizontal="left" vertical="center"/>
      <protection locked="0"/>
    </xf>
    <xf numFmtId="0" fontId="120" fillId="0" borderId="0" xfId="0" applyFont="1" applyAlignment="1">
      <alignment horizontal="left" vertical="center" wrapText="1"/>
    </xf>
    <xf numFmtId="0" fontId="22" fillId="0" borderId="17" xfId="0" applyFont="1" applyBorder="1" applyAlignment="1">
      <alignment horizontal="center" vertical="center" wrapText="1"/>
    </xf>
    <xf numFmtId="0" fontId="22" fillId="0" borderId="3" xfId="0" applyFont="1" applyBorder="1" applyAlignment="1">
      <alignment horizontal="center" vertical="center" wrapText="1"/>
    </xf>
    <xf numFmtId="166" fontId="9" fillId="12" borderId="15" xfId="0" applyNumberFormat="1" applyFont="1" applyFill="1" applyBorder="1" applyAlignment="1">
      <alignment horizontal="center" vertical="center" wrapText="1"/>
    </xf>
    <xf numFmtId="166" fontId="9" fillId="12" borderId="16" xfId="0" applyNumberFormat="1" applyFont="1" applyFill="1" applyBorder="1" applyAlignment="1">
      <alignment horizontal="center" vertical="center" wrapText="1"/>
    </xf>
    <xf numFmtId="0" fontId="137" fillId="0" borderId="0" xfId="0" applyFont="1" applyAlignment="1">
      <alignment horizontal="left" vertical="top" wrapText="1"/>
    </xf>
    <xf numFmtId="0" fontId="114" fillId="0" borderId="0" xfId="0" applyFont="1" applyAlignment="1">
      <alignment horizontal="left" vertical="center" wrapText="1"/>
    </xf>
    <xf numFmtId="0" fontId="105" fillId="12" borderId="18" xfId="0" applyFont="1" applyFill="1" applyBorder="1" applyAlignment="1">
      <alignment horizontal="center" vertical="center" wrapText="1"/>
    </xf>
    <xf numFmtId="0" fontId="114" fillId="0" borderId="0" xfId="0" applyFont="1" applyAlignment="1">
      <alignment horizontal="center" vertical="center" wrapText="1"/>
    </xf>
    <xf numFmtId="166" fontId="18" fillId="0" borderId="0" xfId="0" applyNumberFormat="1" applyFont="1" applyAlignment="1">
      <alignment horizontal="left" vertical="top" wrapText="1"/>
    </xf>
    <xf numFmtId="0" fontId="18" fillId="0" borderId="0" xfId="0" applyFont="1" applyAlignment="1">
      <alignment horizontal="left"/>
    </xf>
    <xf numFmtId="166" fontId="47" fillId="0" borderId="0" xfId="0" applyNumberFormat="1" applyFont="1" applyAlignment="1">
      <alignment horizontal="left" vertical="top" wrapText="1"/>
    </xf>
    <xf numFmtId="0" fontId="268" fillId="12" borderId="0" xfId="0" applyFont="1" applyFill="1" applyAlignment="1">
      <alignment horizontal="left" vertical="top" wrapText="1"/>
    </xf>
    <xf numFmtId="0" fontId="0" fillId="12" borderId="0" xfId="0" applyFill="1" applyAlignment="1">
      <alignment horizontal="left" vertical="top" wrapText="1"/>
    </xf>
    <xf numFmtId="0" fontId="157" fillId="9" borderId="0" xfId="0" applyFont="1" applyFill="1" applyAlignment="1">
      <alignment horizontal="left" vertical="top" wrapText="1"/>
    </xf>
    <xf numFmtId="0" fontId="0" fillId="23" borderId="0" xfId="0" applyFill="1" applyAlignment="1">
      <alignment horizontal="center" vertical="top" textRotation="255"/>
    </xf>
    <xf numFmtId="0" fontId="252" fillId="12" borderId="0" xfId="0" applyFont="1" applyFill="1" applyAlignment="1">
      <alignment horizontal="left" vertical="top" wrapText="1"/>
    </xf>
    <xf numFmtId="0" fontId="0" fillId="12" borderId="0" xfId="0" applyFill="1" applyAlignment="1">
      <alignment horizontal="left" vertical="top"/>
    </xf>
    <xf numFmtId="0" fontId="75" fillId="12" borderId="0" xfId="0" applyFont="1" applyFill="1" applyAlignment="1">
      <alignment horizontal="left" vertical="top"/>
    </xf>
    <xf numFmtId="0" fontId="273" fillId="12" borderId="0" xfId="0" applyFont="1" applyFill="1" applyAlignment="1">
      <alignment horizontal="left" vertical="top" wrapText="1"/>
    </xf>
    <xf numFmtId="0" fontId="276" fillId="12" borderId="0" xfId="0" applyFont="1" applyFill="1" applyAlignment="1">
      <alignment horizontal="left" vertical="top" wrapText="1"/>
    </xf>
    <xf numFmtId="0" fontId="184" fillId="18" borderId="31" xfId="0" applyFont="1" applyFill="1" applyBorder="1" applyAlignment="1">
      <alignment horizontal="right" wrapText="1"/>
    </xf>
    <xf numFmtId="169" fontId="0" fillId="11" borderId="29" xfId="8" applyNumberFormat="1" applyFont="1" applyFill="1" applyBorder="1" applyAlignment="1" applyProtection="1">
      <alignment horizontal="right" vertical="center"/>
    </xf>
    <xf numFmtId="169" fontId="0" fillId="11" borderId="31" xfId="8" applyNumberFormat="1" applyFont="1" applyFill="1" applyBorder="1" applyAlignment="1" applyProtection="1">
      <alignment horizontal="right" vertical="center"/>
    </xf>
    <xf numFmtId="9" fontId="75" fillId="11" borderId="24" xfId="0" applyNumberFormat="1" applyFont="1" applyFill="1" applyBorder="1" applyAlignment="1">
      <alignment horizontal="right" vertical="center"/>
    </xf>
    <xf numFmtId="9" fontId="75" fillId="11" borderId="41" xfId="0" applyNumberFormat="1" applyFont="1" applyFill="1" applyBorder="1" applyAlignment="1">
      <alignment horizontal="right" vertical="center"/>
    </xf>
    <xf numFmtId="9" fontId="171" fillId="15" borderId="0" xfId="8" applyFont="1" applyFill="1" applyAlignment="1" applyProtection="1">
      <alignment horizontal="center" vertical="center" wrapText="1"/>
    </xf>
    <xf numFmtId="0" fontId="0" fillId="0" borderId="0" xfId="0" applyAlignment="1">
      <alignment horizontal="left" vertical="center" wrapText="1"/>
    </xf>
    <xf numFmtId="0" fontId="132" fillId="15" borderId="0" xfId="0" applyFont="1" applyFill="1" applyAlignment="1">
      <alignment horizontal="center" wrapText="1"/>
    </xf>
    <xf numFmtId="0" fontId="75" fillId="0" borderId="0" xfId="0" applyFont="1" applyAlignment="1">
      <alignment horizontal="right" vertical="top" wrapText="1"/>
    </xf>
    <xf numFmtId="0" fontId="170" fillId="12" borderId="0" xfId="0" applyFont="1" applyFill="1" applyAlignment="1" applyProtection="1">
      <alignment horizontal="left" vertical="center" wrapText="1"/>
      <protection locked="0"/>
    </xf>
    <xf numFmtId="0" fontId="175" fillId="0" borderId="0" xfId="0" applyFont="1" applyAlignment="1">
      <alignment horizontal="left" wrapText="1"/>
    </xf>
    <xf numFmtId="0" fontId="170" fillId="7" borderId="0" xfId="0" applyFont="1" applyFill="1" applyAlignment="1" applyProtection="1">
      <alignment horizontal="left" wrapText="1"/>
      <protection locked="0"/>
    </xf>
    <xf numFmtId="0" fontId="163" fillId="0" borderId="0" xfId="0" applyFont="1" applyAlignment="1">
      <alignment horizontal="center" wrapText="1"/>
    </xf>
    <xf numFmtId="0" fontId="163" fillId="0" borderId="0" xfId="0" applyFont="1" applyAlignment="1">
      <alignment horizontal="center" vertical="top" wrapText="1"/>
    </xf>
    <xf numFmtId="0" fontId="60" fillId="7" borderId="0" xfId="258" applyFill="1" applyAlignment="1" applyProtection="1">
      <alignment horizontal="left"/>
      <protection locked="0"/>
    </xf>
    <xf numFmtId="0" fontId="170" fillId="7" borderId="0" xfId="0" applyFont="1" applyFill="1" applyAlignment="1" applyProtection="1">
      <alignment horizontal="left"/>
      <protection locked="0"/>
    </xf>
    <xf numFmtId="0" fontId="131" fillId="7" borderId="0" xfId="0" applyFont="1" applyFill="1" applyAlignment="1" applyProtection="1">
      <alignment horizontal="left" vertical="center" wrapText="1"/>
      <protection locked="0"/>
    </xf>
    <xf numFmtId="0" fontId="131" fillId="15" borderId="0" xfId="0" applyFont="1" applyFill="1" applyAlignment="1">
      <alignment horizontal="center" vertical="center" wrapText="1"/>
    </xf>
    <xf numFmtId="168" fontId="171" fillId="3" borderId="35" xfId="0" applyNumberFormat="1" applyFont="1" applyFill="1" applyBorder="1" applyAlignment="1">
      <alignment horizontal="right"/>
    </xf>
    <xf numFmtId="9" fontId="179" fillId="11" borderId="0" xfId="8" applyFont="1" applyFill="1" applyBorder="1" applyAlignment="1" applyProtection="1">
      <alignment horizontal="center" wrapText="1"/>
    </xf>
    <xf numFmtId="168" fontId="171" fillId="15" borderId="0" xfId="8" applyNumberFormat="1" applyFont="1" applyFill="1" applyAlignment="1" applyProtection="1">
      <alignment horizontal="center" vertical="center" wrapText="1"/>
    </xf>
    <xf numFmtId="0" fontId="150" fillId="0" borderId="0" xfId="0" applyFont="1" applyAlignment="1">
      <alignment horizontal="center" vertical="top" wrapText="1"/>
    </xf>
    <xf numFmtId="0" fontId="111" fillId="0" borderId="0" xfId="0" applyFont="1" applyAlignment="1">
      <alignment horizontal="left" vertical="top" wrapText="1"/>
    </xf>
    <xf numFmtId="168" fontId="153" fillId="3" borderId="35" xfId="0" applyNumberFormat="1" applyFont="1" applyFill="1" applyBorder="1" applyAlignment="1">
      <alignment horizontal="right"/>
    </xf>
    <xf numFmtId="171" fontId="75" fillId="3" borderId="35" xfId="9" applyNumberFormat="1" applyFont="1" applyFill="1" applyBorder="1" applyAlignment="1" applyProtection="1">
      <alignment horizontal="right"/>
    </xf>
    <xf numFmtId="0" fontId="151" fillId="0" borderId="0" xfId="0" applyFont="1" applyAlignment="1">
      <alignment horizontal="left" wrapText="1"/>
    </xf>
    <xf numFmtId="0" fontId="170" fillId="7" borderId="0" xfId="0" applyFont="1" applyFill="1" applyAlignment="1" applyProtection="1">
      <alignment horizontal="left" vertical="center" wrapText="1"/>
      <protection locked="0"/>
    </xf>
    <xf numFmtId="0" fontId="131" fillId="0" borderId="0" xfId="0" applyFont="1" applyAlignment="1">
      <alignment horizontal="center" vertical="top" wrapText="1"/>
    </xf>
    <xf numFmtId="0" fontId="75" fillId="7" borderId="0" xfId="0" applyFont="1" applyFill="1" applyAlignment="1" applyProtection="1">
      <alignment horizontal="left"/>
      <protection locked="0"/>
    </xf>
    <xf numFmtId="0" fontId="199" fillId="0" borderId="0" xfId="0" applyFont="1" applyAlignment="1">
      <alignment horizontal="center" vertical="center" wrapText="1"/>
    </xf>
    <xf numFmtId="0" fontId="158" fillId="0" borderId="0" xfId="0" applyFont="1" applyAlignment="1">
      <alignment horizontal="center" wrapText="1"/>
    </xf>
    <xf numFmtId="0" fontId="167" fillId="0" borderId="0" xfId="0" applyFont="1" applyAlignment="1">
      <alignment horizontal="center" wrapText="1"/>
    </xf>
    <xf numFmtId="0" fontId="153" fillId="0" borderId="0" xfId="0" applyFont="1" applyAlignment="1">
      <alignment horizontal="center" vertical="center" wrapText="1"/>
    </xf>
    <xf numFmtId="49" fontId="262" fillId="7" borderId="0" xfId="0" applyNumberFormat="1" applyFont="1" applyFill="1" applyAlignment="1" applyProtection="1">
      <alignment horizontal="left" vertical="center" wrapText="1"/>
      <protection locked="0"/>
    </xf>
    <xf numFmtId="0" fontId="185" fillId="0" borderId="0" xfId="0" applyFont="1" applyAlignment="1">
      <alignment horizontal="left" wrapText="1"/>
    </xf>
    <xf numFmtId="0" fontId="0" fillId="0" borderId="0" xfId="0" applyAlignment="1">
      <alignment horizontal="center" textRotation="255"/>
    </xf>
    <xf numFmtId="0" fontId="131" fillId="0" borderId="20" xfId="0" applyFont="1" applyBorder="1" applyAlignment="1">
      <alignment horizontal="left" vertical="center" wrapText="1"/>
    </xf>
    <xf numFmtId="0" fontId="131" fillId="0" borderId="21" xfId="0" applyFont="1" applyBorder="1" applyAlignment="1">
      <alignment horizontal="left" vertical="center" wrapText="1"/>
    </xf>
    <xf numFmtId="0" fontId="75" fillId="0" borderId="0" xfId="0" applyFont="1" applyAlignment="1">
      <alignment horizontal="right" wrapText="1"/>
    </xf>
    <xf numFmtId="166" fontId="7" fillId="15" borderId="0" xfId="0" applyNumberFormat="1" applyFont="1" applyFill="1" applyAlignment="1">
      <alignment horizontal="center" vertical="top" wrapText="1"/>
    </xf>
    <xf numFmtId="0" fontId="75" fillId="7" borderId="0" xfId="0" applyFont="1" applyFill="1" applyAlignment="1" applyProtection="1">
      <alignment horizontal="left" vertical="center"/>
      <protection locked="0"/>
    </xf>
    <xf numFmtId="0" fontId="75" fillId="7" borderId="0" xfId="0" applyFont="1" applyFill="1" applyAlignment="1" applyProtection="1">
      <alignment horizontal="left" vertical="center" wrapText="1"/>
      <protection locked="0"/>
    </xf>
    <xf numFmtId="0" fontId="178" fillId="0" borderId="0" xfId="0" applyFont="1" applyAlignment="1">
      <alignment horizontal="center" vertical="top" wrapText="1"/>
    </xf>
    <xf numFmtId="166" fontId="7" fillId="7" borderId="7" xfId="0" applyNumberFormat="1" applyFont="1" applyFill="1" applyBorder="1" applyAlignment="1" applyProtection="1">
      <alignment horizontal="center" vertical="center"/>
      <protection locked="0"/>
    </xf>
    <xf numFmtId="166" fontId="7" fillId="7" borderId="13" xfId="0" applyNumberFormat="1" applyFont="1" applyFill="1" applyBorder="1" applyAlignment="1" applyProtection="1">
      <alignment horizontal="center" vertical="center"/>
      <protection locked="0"/>
    </xf>
    <xf numFmtId="0" fontId="18" fillId="0" borderId="0" xfId="0" applyFont="1" applyAlignment="1">
      <alignment horizontal="center" vertical="center" wrapText="1"/>
    </xf>
    <xf numFmtId="166" fontId="9" fillId="18" borderId="32" xfId="0" applyNumberFormat="1" applyFont="1" applyFill="1" applyBorder="1" applyAlignment="1">
      <alignment horizontal="left" vertical="center"/>
    </xf>
    <xf numFmtId="166" fontId="9" fillId="18" borderId="0" xfId="0" applyNumberFormat="1" applyFont="1" applyFill="1" applyAlignment="1">
      <alignment horizontal="left" vertical="center"/>
    </xf>
    <xf numFmtId="0" fontId="56" fillId="0" borderId="0" xfId="0" applyFont="1" applyAlignment="1">
      <alignment horizontal="left" vertical="center" wrapText="1"/>
    </xf>
    <xf numFmtId="166" fontId="7" fillId="0" borderId="0" xfId="0" applyNumberFormat="1" applyFont="1" applyAlignment="1">
      <alignment horizontal="left" vertical="center"/>
    </xf>
    <xf numFmtId="0" fontId="41" fillId="0" borderId="0" xfId="0" applyFont="1" applyAlignment="1">
      <alignment horizontal="center" vertical="center" wrapText="1"/>
    </xf>
    <xf numFmtId="0" fontId="78" fillId="0" borderId="18" xfId="0" applyFont="1" applyBorder="1" applyAlignment="1">
      <alignment horizontal="left" vertical="center" wrapText="1"/>
    </xf>
    <xf numFmtId="0" fontId="22" fillId="0" borderId="39" xfId="0" applyFont="1" applyBorder="1" applyAlignment="1">
      <alignment horizontal="left" vertical="top" wrapText="1"/>
    </xf>
    <xf numFmtId="0" fontId="22" fillId="0" borderId="29" xfId="0" applyFont="1" applyBorder="1" applyAlignment="1">
      <alignment horizontal="left" vertical="top" wrapText="1"/>
    </xf>
    <xf numFmtId="166" fontId="7" fillId="7" borderId="40" xfId="0" applyNumberFormat="1" applyFont="1" applyFill="1" applyBorder="1" applyAlignment="1" applyProtection="1">
      <alignment horizontal="center" vertical="center"/>
      <protection locked="0"/>
    </xf>
    <xf numFmtId="166" fontId="7" fillId="7" borderId="41" xfId="0" applyNumberFormat="1" applyFont="1" applyFill="1" applyBorder="1" applyAlignment="1" applyProtection="1">
      <alignment horizontal="center" vertical="center"/>
      <protection locked="0"/>
    </xf>
    <xf numFmtId="166" fontId="214" fillId="18" borderId="31" xfId="0" applyNumberFormat="1" applyFont="1" applyFill="1" applyBorder="1" applyAlignment="1">
      <alignment horizontal="left" vertical="center" wrapText="1"/>
    </xf>
    <xf numFmtId="0" fontId="26" fillId="10" borderId="0" xfId="0" applyFont="1" applyFill="1" applyAlignment="1">
      <alignment horizontal="right" vertical="center" wrapText="1"/>
    </xf>
    <xf numFmtId="49" fontId="7" fillId="0" borderId="0" xfId="0" applyNumberFormat="1" applyFont="1" applyAlignment="1">
      <alignment horizontal="left" vertical="center"/>
    </xf>
    <xf numFmtId="166" fontId="13" fillId="18" borderId="0" xfId="0" applyNumberFormat="1" applyFont="1" applyFill="1" applyAlignment="1">
      <alignment horizontal="center" vertical="center" wrapText="1"/>
    </xf>
    <xf numFmtId="0" fontId="0" fillId="0" borderId="0" xfId="0" applyAlignment="1">
      <alignment horizontal="center" vertical="center" textRotation="255"/>
    </xf>
    <xf numFmtId="0" fontId="207" fillId="7" borderId="16" xfId="258" applyNumberFormat="1" applyFont="1" applyFill="1" applyBorder="1" applyAlignment="1" applyProtection="1">
      <alignment horizontal="center" vertical="center" wrapText="1"/>
    </xf>
    <xf numFmtId="0" fontId="207" fillId="9" borderId="0" xfId="258" applyNumberFormat="1" applyFont="1" applyFill="1" applyAlignment="1" applyProtection="1">
      <alignment horizontal="center" vertical="center" wrapText="1"/>
    </xf>
    <xf numFmtId="0" fontId="227" fillId="12" borderId="0" xfId="0" applyFont="1" applyFill="1" applyAlignment="1">
      <alignment horizontal="right" vertical="top" wrapText="1"/>
    </xf>
    <xf numFmtId="0" fontId="151" fillId="0" borderId="0" xfId="0" applyFont="1" applyAlignment="1">
      <alignment horizontal="right" vertical="top" wrapText="1"/>
    </xf>
    <xf numFmtId="0" fontId="220" fillId="12" borderId="20" xfId="0" applyFont="1" applyFill="1" applyBorder="1" applyAlignment="1">
      <alignment horizontal="left" vertical="top"/>
    </xf>
    <xf numFmtId="0" fontId="220" fillId="12" borderId="21" xfId="0" applyFont="1" applyFill="1" applyBorder="1" applyAlignment="1">
      <alignment horizontal="left" vertical="top"/>
    </xf>
    <xf numFmtId="0" fontId="181" fillId="18" borderId="0" xfId="0" applyFont="1" applyFill="1" applyAlignment="1">
      <alignment horizontal="left" wrapText="1"/>
    </xf>
    <xf numFmtId="0" fontId="13" fillId="21" borderId="0" xfId="0" applyFont="1" applyFill="1" applyAlignment="1">
      <alignment horizontal="right" vertical="center" wrapText="1"/>
    </xf>
    <xf numFmtId="0" fontId="13" fillId="21" borderId="10" xfId="0" applyFont="1" applyFill="1" applyBorder="1" applyAlignment="1">
      <alignment horizontal="right" vertical="center" wrapText="1"/>
    </xf>
    <xf numFmtId="0" fontId="13" fillId="12" borderId="0" xfId="0" applyFont="1" applyFill="1" applyAlignment="1">
      <alignment horizontal="right" wrapText="1"/>
    </xf>
    <xf numFmtId="0" fontId="13" fillId="12" borderId="10" xfId="0" applyFont="1" applyFill="1" applyBorder="1" applyAlignment="1">
      <alignment horizontal="right" wrapText="1"/>
    </xf>
    <xf numFmtId="0" fontId="59" fillId="18" borderId="0" xfId="0" applyFont="1" applyFill="1" applyAlignment="1">
      <alignment horizontal="left" vertical="top" wrapText="1"/>
    </xf>
    <xf numFmtId="0" fontId="111" fillId="0" borderId="0" xfId="0" applyFont="1" applyAlignment="1">
      <alignment horizontal="center" vertical="top" wrapText="1"/>
    </xf>
    <xf numFmtId="0" fontId="123" fillId="0" borderId="20" xfId="0" applyFont="1" applyBorder="1" applyAlignment="1">
      <alignment horizontal="left" vertical="center" wrapText="1"/>
    </xf>
    <xf numFmtId="0" fontId="123" fillId="0" borderId="21" xfId="0" applyFont="1" applyBorder="1" applyAlignment="1">
      <alignment horizontal="left" vertical="center" wrapText="1"/>
    </xf>
    <xf numFmtId="166" fontId="7" fillId="0" borderId="4" xfId="0" applyNumberFormat="1" applyFont="1" applyBorder="1" applyAlignment="1">
      <alignment horizontal="right" vertical="center"/>
    </xf>
    <xf numFmtId="166" fontId="7" fillId="0" borderId="18" xfId="0" applyNumberFormat="1" applyFont="1" applyBorder="1" applyAlignment="1">
      <alignment horizontal="right" vertical="center"/>
    </xf>
    <xf numFmtId="0" fontId="81" fillId="0" borderId="0" xfId="0" applyFont="1" applyAlignment="1">
      <alignment horizontal="right" wrapText="1"/>
    </xf>
    <xf numFmtId="0" fontId="21" fillId="0" borderId="0" xfId="0" applyFont="1" applyAlignment="1">
      <alignment horizontal="center"/>
    </xf>
    <xf numFmtId="0" fontId="18" fillId="0" borderId="0" xfId="0" applyFont="1" applyAlignment="1">
      <alignment horizontal="center" vertical="top" wrapText="1"/>
    </xf>
    <xf numFmtId="0" fontId="41" fillId="0" borderId="0" xfId="0" applyFont="1" applyAlignment="1">
      <alignment horizontal="center" vertical="top" wrapText="1"/>
    </xf>
    <xf numFmtId="0" fontId="0" fillId="3" borderId="0" xfId="0" applyFill="1" applyAlignment="1">
      <alignment horizontal="center" vertical="top"/>
    </xf>
    <xf numFmtId="0" fontId="0" fillId="12" borderId="0" xfId="0" applyFont="1" applyFill="1" applyAlignment="1">
      <alignment horizontal="right" vertical="top" wrapText="1"/>
    </xf>
    <xf numFmtId="0" fontId="122" fillId="13" borderId="19" xfId="0" applyFont="1" applyFill="1" applyBorder="1" applyAlignment="1" applyProtection="1">
      <alignment horizontal="center" vertical="center"/>
      <protection hidden="1"/>
    </xf>
    <xf numFmtId="166" fontId="273" fillId="25" borderId="0" xfId="0" applyNumberFormat="1" applyFont="1" applyFill="1" applyAlignment="1">
      <alignment horizontal="left" vertical="center"/>
    </xf>
    <xf numFmtId="0" fontId="273" fillId="12" borderId="0" xfId="0" applyFont="1" applyFill="1" applyAlignment="1">
      <alignment horizontal="right" vertical="center" wrapText="1"/>
    </xf>
    <xf numFmtId="0" fontId="278" fillId="12" borderId="0" xfId="0" applyFont="1" applyFill="1" applyAlignment="1">
      <alignment horizontal="right" vertical="center" wrapText="1"/>
    </xf>
    <xf numFmtId="0" fontId="116" fillId="12" borderId="0" xfId="0" applyFont="1" applyFill="1" applyAlignment="1">
      <alignment vertical="center"/>
    </xf>
  </cellXfs>
  <cellStyles count="261">
    <cellStyle name="Lien hypertexte" xfId="2" builtinId="8" hidden="1"/>
    <cellStyle name="Lien hypertexte" xfId="4" builtinId="8" hidden="1"/>
    <cellStyle name="Lien hypertexte" xfId="6"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hidden="1"/>
    <cellStyle name="Lien hypertexte" xfId="130" builtinId="8" hidden="1"/>
    <cellStyle name="Lien hypertexte" xfId="132" builtinId="8" hidden="1"/>
    <cellStyle name="Lien hypertexte" xfId="134" builtinId="8" hidden="1"/>
    <cellStyle name="Lien hypertexte" xfId="136" builtinId="8" hidden="1"/>
    <cellStyle name="Lien hypertexte" xfId="138" builtinId="8" hidden="1"/>
    <cellStyle name="Lien hypertexte" xfId="140" builtinId="8" hidden="1"/>
    <cellStyle name="Lien hypertexte" xfId="142" builtinId="8" hidden="1"/>
    <cellStyle name="Lien hypertexte" xfId="144" builtinId="8" hidden="1"/>
    <cellStyle name="Lien hypertexte" xfId="146" builtinId="8" hidden="1"/>
    <cellStyle name="Lien hypertexte" xfId="148" builtinId="8" hidden="1"/>
    <cellStyle name="Lien hypertexte" xfId="150" builtinId="8" hidden="1"/>
    <cellStyle name="Lien hypertexte" xfId="152" builtinId="8" hidden="1"/>
    <cellStyle name="Lien hypertexte" xfId="154" builtinId="8" hidden="1"/>
    <cellStyle name="Lien hypertexte" xfId="156" builtinId="8" hidden="1"/>
    <cellStyle name="Lien hypertexte" xfId="158" builtinId="8" hidden="1"/>
    <cellStyle name="Lien hypertexte" xfId="160" builtinId="8" hidden="1"/>
    <cellStyle name="Lien hypertexte" xfId="162" builtinId="8" hidden="1"/>
    <cellStyle name="Lien hypertexte" xfId="164" builtinId="8" hidden="1"/>
    <cellStyle name="Lien hypertexte" xfId="166" builtinId="8" hidden="1"/>
    <cellStyle name="Lien hypertexte" xfId="168" builtinId="8" hidden="1"/>
    <cellStyle name="Lien hypertexte" xfId="170" builtinId="8" hidden="1"/>
    <cellStyle name="Lien hypertexte" xfId="172" builtinId="8" hidden="1"/>
    <cellStyle name="Lien hypertexte" xfId="174" builtinId="8" hidden="1"/>
    <cellStyle name="Lien hypertexte" xfId="176" builtinId="8" hidden="1"/>
    <cellStyle name="Lien hypertexte" xfId="178" builtinId="8" hidden="1"/>
    <cellStyle name="Lien hypertexte" xfId="180" builtinId="8" hidden="1"/>
    <cellStyle name="Lien hypertexte" xfId="182" builtinId="8" hidden="1"/>
    <cellStyle name="Lien hypertexte" xfId="184" builtinId="8" hidden="1"/>
    <cellStyle name="Lien hypertexte" xfId="186" builtinId="8" hidden="1"/>
    <cellStyle name="Lien hypertexte" xfId="188" builtinId="8" hidden="1"/>
    <cellStyle name="Lien hypertexte" xfId="190" builtinId="8" hidden="1"/>
    <cellStyle name="Lien hypertexte" xfId="192" builtinId="8" hidden="1"/>
    <cellStyle name="Lien hypertexte" xfId="194" builtinId="8" hidden="1"/>
    <cellStyle name="Lien hypertexte" xfId="196" builtinId="8" hidden="1"/>
    <cellStyle name="Lien hypertexte" xfId="198" builtinId="8" hidden="1"/>
    <cellStyle name="Lien hypertexte" xfId="200" builtinId="8" hidden="1"/>
    <cellStyle name="Lien hypertexte" xfId="202" builtinId="8" hidden="1"/>
    <cellStyle name="Lien hypertexte" xfId="204" builtinId="8" hidden="1"/>
    <cellStyle name="Lien hypertexte" xfId="206" builtinId="8" hidden="1"/>
    <cellStyle name="Lien hypertexte" xfId="208" builtinId="8" hidden="1"/>
    <cellStyle name="Lien hypertexte" xfId="210" builtinId="8" hidden="1"/>
    <cellStyle name="Lien hypertexte" xfId="212" builtinId="8" hidden="1"/>
    <cellStyle name="Lien hypertexte" xfId="214" builtinId="8" hidden="1"/>
    <cellStyle name="Lien hypertexte" xfId="216" builtinId="8" hidden="1"/>
    <cellStyle name="Lien hypertexte" xfId="218" builtinId="8" hidden="1"/>
    <cellStyle name="Lien hypertexte" xfId="220" builtinId="8" hidden="1"/>
    <cellStyle name="Lien hypertexte" xfId="222" builtinId="8" hidden="1"/>
    <cellStyle name="Lien hypertexte" xfId="224" builtinId="8" hidden="1"/>
    <cellStyle name="Lien hypertexte" xfId="226" builtinId="8" hidden="1"/>
    <cellStyle name="Lien hypertexte" xfId="228" builtinId="8" hidden="1"/>
    <cellStyle name="Lien hypertexte" xfId="230" builtinId="8" hidden="1"/>
    <cellStyle name="Lien hypertexte" xfId="232" builtinId="8" hidden="1"/>
    <cellStyle name="Lien hypertexte" xfId="234" builtinId="8" hidden="1"/>
    <cellStyle name="Lien hypertexte" xfId="236" builtinId="8" hidden="1"/>
    <cellStyle name="Lien hypertexte" xfId="238" builtinId="8" hidden="1"/>
    <cellStyle name="Lien hypertexte" xfId="240" builtinId="8" hidden="1"/>
    <cellStyle name="Lien hypertexte" xfId="242" builtinId="8" hidden="1"/>
    <cellStyle name="Lien hypertexte" xfId="244" builtinId="8" hidden="1"/>
    <cellStyle name="Lien hypertexte" xfId="246" builtinId="8" hidden="1"/>
    <cellStyle name="Lien hypertexte" xfId="248" builtinId="8" hidden="1"/>
    <cellStyle name="Lien hypertexte" xfId="250" builtinId="8" hidden="1"/>
    <cellStyle name="Lien hypertexte" xfId="252" builtinId="8" hidden="1"/>
    <cellStyle name="Lien hypertexte" xfId="254" builtinId="8" hidden="1"/>
    <cellStyle name="Lien hypertexte" xfId="256" builtinId="8" hidden="1"/>
    <cellStyle name="Lien hypertexte" xfId="258" builtinId="8"/>
    <cellStyle name="Lien hypertexte visité" xfId="3" builtinId="9" hidden="1"/>
    <cellStyle name="Lien hypertexte visité" xfId="5" builtinId="9" hidden="1"/>
    <cellStyle name="Lien hypertexte visité" xfId="7"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1" builtinId="9" hidden="1"/>
    <cellStyle name="Lien hypertexte visité" xfId="133" builtinId="9" hidden="1"/>
    <cellStyle name="Lien hypertexte visité" xfId="135" builtinId="9" hidden="1"/>
    <cellStyle name="Lien hypertexte visité" xfId="137" builtinId="9" hidden="1"/>
    <cellStyle name="Lien hypertexte visité" xfId="139" builtinId="9" hidden="1"/>
    <cellStyle name="Lien hypertexte visité" xfId="141" builtinId="9" hidden="1"/>
    <cellStyle name="Lien hypertexte visité" xfId="143" builtinId="9" hidden="1"/>
    <cellStyle name="Lien hypertexte visité" xfId="145" builtinId="9" hidden="1"/>
    <cellStyle name="Lien hypertexte visité" xfId="147" builtinId="9" hidden="1"/>
    <cellStyle name="Lien hypertexte visité" xfId="149" builtinId="9" hidden="1"/>
    <cellStyle name="Lien hypertexte visité" xfId="151" builtinId="9" hidden="1"/>
    <cellStyle name="Lien hypertexte visité" xfId="153" builtinId="9" hidden="1"/>
    <cellStyle name="Lien hypertexte visité" xfId="155" builtinId="9" hidden="1"/>
    <cellStyle name="Lien hypertexte visité" xfId="157" builtinId="9" hidden="1"/>
    <cellStyle name="Lien hypertexte visité" xfId="159" builtinId="9" hidden="1"/>
    <cellStyle name="Lien hypertexte visité" xfId="161" builtinId="9" hidden="1"/>
    <cellStyle name="Lien hypertexte visité" xfId="163" builtinId="9" hidden="1"/>
    <cellStyle name="Lien hypertexte visité" xfId="165" builtinId="9" hidden="1"/>
    <cellStyle name="Lien hypertexte visité" xfId="167" builtinId="9" hidden="1"/>
    <cellStyle name="Lien hypertexte visité" xfId="169" builtinId="9" hidden="1"/>
    <cellStyle name="Lien hypertexte visité" xfId="171" builtinId="9" hidden="1"/>
    <cellStyle name="Lien hypertexte visité" xfId="173" builtinId="9" hidden="1"/>
    <cellStyle name="Lien hypertexte visité" xfId="175" builtinId="9" hidden="1"/>
    <cellStyle name="Lien hypertexte visité" xfId="177" builtinId="9" hidden="1"/>
    <cellStyle name="Lien hypertexte visité" xfId="179" builtinId="9" hidden="1"/>
    <cellStyle name="Lien hypertexte visité" xfId="181" builtinId="9" hidden="1"/>
    <cellStyle name="Lien hypertexte visité" xfId="183" builtinId="9" hidden="1"/>
    <cellStyle name="Lien hypertexte visité" xfId="185" builtinId="9" hidden="1"/>
    <cellStyle name="Lien hypertexte visité" xfId="187" builtinId="9" hidden="1"/>
    <cellStyle name="Lien hypertexte visité" xfId="189" builtinId="9" hidden="1"/>
    <cellStyle name="Lien hypertexte visité" xfId="191" builtinId="9" hidden="1"/>
    <cellStyle name="Lien hypertexte visité" xfId="193" builtinId="9" hidden="1"/>
    <cellStyle name="Lien hypertexte visité" xfId="195" builtinId="9" hidden="1"/>
    <cellStyle name="Lien hypertexte visité" xfId="197" builtinId="9" hidden="1"/>
    <cellStyle name="Lien hypertexte visité" xfId="199" builtinId="9" hidden="1"/>
    <cellStyle name="Lien hypertexte visité" xfId="201" builtinId="9" hidden="1"/>
    <cellStyle name="Lien hypertexte visité" xfId="203" builtinId="9" hidden="1"/>
    <cellStyle name="Lien hypertexte visité" xfId="205" builtinId="9" hidden="1"/>
    <cellStyle name="Lien hypertexte visité" xfId="207" builtinId="9" hidden="1"/>
    <cellStyle name="Lien hypertexte visité" xfId="209" builtinId="9" hidden="1"/>
    <cellStyle name="Lien hypertexte visité" xfId="211" builtinId="9" hidden="1"/>
    <cellStyle name="Lien hypertexte visité" xfId="213" builtinId="9" hidden="1"/>
    <cellStyle name="Lien hypertexte visité" xfId="215" builtinId="9" hidden="1"/>
    <cellStyle name="Lien hypertexte visité" xfId="217" builtinId="9" hidden="1"/>
    <cellStyle name="Lien hypertexte visité" xfId="219" builtinId="9" hidden="1"/>
    <cellStyle name="Lien hypertexte visité" xfId="221" builtinId="9" hidden="1"/>
    <cellStyle name="Lien hypertexte visité" xfId="223" builtinId="9" hidden="1"/>
    <cellStyle name="Lien hypertexte visité" xfId="225" builtinId="9" hidden="1"/>
    <cellStyle name="Lien hypertexte visité" xfId="227" builtinId="9" hidden="1"/>
    <cellStyle name="Lien hypertexte visité" xfId="229" builtinId="9" hidden="1"/>
    <cellStyle name="Lien hypertexte visité" xfId="231" builtinId="9" hidden="1"/>
    <cellStyle name="Lien hypertexte visité" xfId="233" builtinId="9" hidden="1"/>
    <cellStyle name="Lien hypertexte visité" xfId="235" builtinId="9" hidden="1"/>
    <cellStyle name="Lien hypertexte visité" xfId="237" builtinId="9" hidden="1"/>
    <cellStyle name="Lien hypertexte visité" xfId="239" builtinId="9" hidden="1"/>
    <cellStyle name="Lien hypertexte visité" xfId="241" builtinId="9" hidden="1"/>
    <cellStyle name="Lien hypertexte visité" xfId="243" builtinId="9" hidden="1"/>
    <cellStyle name="Lien hypertexte visité" xfId="245" builtinId="9" hidden="1"/>
    <cellStyle name="Lien hypertexte visité" xfId="247" builtinId="9" hidden="1"/>
    <cellStyle name="Lien hypertexte visité" xfId="249" builtinId="9" hidden="1"/>
    <cellStyle name="Lien hypertexte visité" xfId="251" builtinId="9" hidden="1"/>
    <cellStyle name="Lien hypertexte visité" xfId="253" builtinId="9" hidden="1"/>
    <cellStyle name="Lien hypertexte visité" xfId="255" builtinId="9" hidden="1"/>
    <cellStyle name="Lien hypertexte visité" xfId="257" builtinId="9" hidden="1"/>
    <cellStyle name="Lien hypertexte visité" xfId="259" builtinId="9" hidden="1"/>
    <cellStyle name="Lien hypertexte visité" xfId="260" builtinId="9" hidden="1"/>
    <cellStyle name="Milliers" xfId="9" builtinId="3"/>
    <cellStyle name="Normal" xfId="0" builtinId="0"/>
    <cellStyle name="Pourcentage" xfId="8" builtinId="5"/>
    <cellStyle name="Standard 2" xfId="1" xr:uid="{00000000-0005-0000-0000-000004010000}"/>
  </cellStyles>
  <dxfs count="40">
    <dxf>
      <font>
        <color auto="1"/>
      </font>
      <fill>
        <patternFill>
          <bgColor theme="5" tint="0.79998168889431442"/>
        </patternFill>
      </fill>
    </dxf>
    <dxf>
      <font>
        <color auto="1"/>
      </font>
      <fill>
        <patternFill>
          <bgColor theme="5"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auto="1"/>
      </font>
      <fill>
        <patternFill>
          <bgColor theme="5" tint="0.79998168889431442"/>
        </patternFill>
      </fill>
    </dxf>
    <dxf>
      <font>
        <b/>
        <i val="0"/>
        <strike val="0"/>
        <color rgb="FFFF0000"/>
      </font>
    </dxf>
    <dxf>
      <font>
        <color auto="1"/>
      </font>
      <fill>
        <patternFill>
          <bgColor theme="5" tint="0.7999816888943144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ont>
        <color rgb="FFFF0000"/>
      </font>
    </dxf>
    <dxf>
      <font>
        <color rgb="FFFF0000"/>
      </font>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rgb="FF92D050"/>
      </font>
    </dxf>
    <dxf>
      <font>
        <color rgb="FF92D050"/>
      </font>
    </dxf>
    <dxf>
      <font>
        <color rgb="FFFF0000"/>
      </font>
    </dxf>
    <dxf>
      <font>
        <b/>
        <i val="0"/>
        <color rgb="FFFF0000"/>
      </font>
    </dxf>
    <dxf>
      <font>
        <b/>
        <i val="0"/>
        <strike val="0"/>
        <color rgb="FFFF0000"/>
      </font>
    </dxf>
    <dxf>
      <font>
        <color rgb="FFFF0000"/>
      </font>
    </dxf>
    <dxf>
      <font>
        <b/>
        <i val="0"/>
        <color rgb="FFFF0000"/>
      </font>
    </dxf>
    <dxf>
      <font>
        <color auto="1"/>
      </font>
      <fill>
        <patternFill>
          <bgColor theme="5" tint="0.79998168889431442"/>
        </patternFill>
      </fill>
    </dxf>
    <dxf>
      <font>
        <color auto="1"/>
      </font>
      <fill>
        <patternFill>
          <bgColor theme="5"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47</xdr:row>
      <xdr:rowOff>88900</xdr:rowOff>
    </xdr:from>
    <xdr:to>
      <xdr:col>4</xdr:col>
      <xdr:colOff>139700</xdr:colOff>
      <xdr:row>47</xdr:row>
      <xdr:rowOff>1041400</xdr:rowOff>
    </xdr:to>
    <xdr:pic>
      <xdr:nvPicPr>
        <xdr:cNvPr id="3" name="Bild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8636000"/>
          <a:ext cx="34544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140988</xdr:colOff>
      <xdr:row>122</xdr:row>
      <xdr:rowOff>583407</xdr:rowOff>
    </xdr:from>
    <xdr:ext cx="3772800" cy="2981448"/>
    <xdr:pic>
      <xdr:nvPicPr>
        <xdr:cNvPr id="5" name="Bild 3">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107"/>
        <a:stretch/>
      </xdr:blipFill>
      <xdr:spPr bwMode="auto">
        <a:xfrm>
          <a:off x="4058144" y="16918782"/>
          <a:ext cx="3772800" cy="2981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4155331</xdr:colOff>
      <xdr:row>122</xdr:row>
      <xdr:rowOff>559661</xdr:rowOff>
    </xdr:from>
    <xdr:to>
      <xdr:col>6</xdr:col>
      <xdr:colOff>1690690</xdr:colOff>
      <xdr:row>122</xdr:row>
      <xdr:rowOff>3524557</xdr:rowOff>
    </xdr:to>
    <xdr:pic>
      <xdr:nvPicPr>
        <xdr:cNvPr id="12" name="Bild 2">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
        <a:stretch>
          <a:fillRect/>
        </a:stretch>
      </xdr:blipFill>
      <xdr:spPr>
        <a:xfrm>
          <a:off x="8072487" y="16895036"/>
          <a:ext cx="3857578" cy="2964896"/>
        </a:xfrm>
        <a:prstGeom prst="rect">
          <a:avLst/>
        </a:prstGeom>
      </xdr:spPr>
    </xdr:pic>
    <xdr:clientData/>
  </xdr:twoCellAnchor>
  <xdr:oneCellAnchor>
    <xdr:from>
      <xdr:col>5</xdr:col>
      <xdr:colOff>107156</xdr:colOff>
      <xdr:row>253</xdr:row>
      <xdr:rowOff>166687</xdr:rowOff>
    </xdr:from>
    <xdr:ext cx="3656256" cy="948836"/>
    <xdr:pic>
      <xdr:nvPicPr>
        <xdr:cNvPr id="15" name="Bild 2">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24312" y="92344875"/>
          <a:ext cx="3656256" cy="94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4619659</xdr:colOff>
      <xdr:row>253</xdr:row>
      <xdr:rowOff>202402</xdr:rowOff>
    </xdr:from>
    <xdr:to>
      <xdr:col>6</xdr:col>
      <xdr:colOff>1640960</xdr:colOff>
      <xdr:row>253</xdr:row>
      <xdr:rowOff>1117470</xdr:rowOff>
    </xdr:to>
    <xdr:pic>
      <xdr:nvPicPr>
        <xdr:cNvPr id="17" name="Bild 3">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5"/>
        <a:stretch>
          <a:fillRect/>
        </a:stretch>
      </xdr:blipFill>
      <xdr:spPr>
        <a:xfrm>
          <a:off x="8536815" y="92380590"/>
          <a:ext cx="3343520" cy="91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107950</xdr:colOff>
      <xdr:row>11</xdr:row>
      <xdr:rowOff>98425</xdr:rowOff>
    </xdr:from>
    <xdr:to>
      <xdr:col>3</xdr:col>
      <xdr:colOff>2740025</xdr:colOff>
      <xdr:row>11</xdr:row>
      <xdr:rowOff>1050925</xdr:rowOff>
    </xdr:to>
    <xdr:pic>
      <xdr:nvPicPr>
        <xdr:cNvPr id="2" name="Bild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625" y="4813300"/>
          <a:ext cx="34607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3</xdr:row>
      <xdr:rowOff>60325</xdr:rowOff>
    </xdr:from>
    <xdr:to>
      <xdr:col>1</xdr:col>
      <xdr:colOff>701675</xdr:colOff>
      <xdr:row>3</xdr:row>
      <xdr:rowOff>1012825</xdr:rowOff>
    </xdr:to>
    <xdr:pic>
      <xdr:nvPicPr>
        <xdr:cNvPr id="2" name="Bild 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184400"/>
          <a:ext cx="34512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4845539</xdr:colOff>
      <xdr:row>55</xdr:row>
      <xdr:rowOff>0</xdr:rowOff>
    </xdr:from>
    <xdr:to>
      <xdr:col>20</xdr:col>
      <xdr:colOff>255294</xdr:colOff>
      <xdr:row>55</xdr:row>
      <xdr:rowOff>26736</xdr:rowOff>
    </xdr:to>
    <xdr:pic>
      <xdr:nvPicPr>
        <xdr:cNvPr id="5" name="Bild 3">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a:stretch>
          <a:fillRect/>
        </a:stretch>
      </xdr:blipFill>
      <xdr:spPr>
        <a:xfrm>
          <a:off x="3321539" y="98182351"/>
          <a:ext cx="578655" cy="267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50800</xdr:colOff>
      <xdr:row>12</xdr:row>
      <xdr:rowOff>76200</xdr:rowOff>
    </xdr:from>
    <xdr:to>
      <xdr:col>3</xdr:col>
      <xdr:colOff>1130300</xdr:colOff>
      <xdr:row>12</xdr:row>
      <xdr:rowOff>1028700</xdr:rowOff>
    </xdr:to>
    <xdr:pic>
      <xdr:nvPicPr>
        <xdr:cNvPr id="11451" name="Bild 3">
          <a:extLst>
            <a:ext uri="{FF2B5EF4-FFF2-40B4-BE49-F238E27FC236}">
              <a16:creationId xmlns:a16="http://schemas.microsoft.com/office/drawing/2014/main" id="{00000000-0008-0000-0500-0000BB2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76200"/>
          <a:ext cx="34544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105270</xdr:colOff>
      <xdr:row>35</xdr:row>
      <xdr:rowOff>337647</xdr:rowOff>
    </xdr:from>
    <xdr:ext cx="4128987" cy="3262924"/>
    <xdr:pic>
      <xdr:nvPicPr>
        <xdr:cNvPr id="5" name="Bild 3">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107"/>
        <a:stretch/>
      </xdr:blipFill>
      <xdr:spPr bwMode="auto">
        <a:xfrm>
          <a:off x="2478583" y="10688147"/>
          <a:ext cx="4128987" cy="3262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114886</xdr:colOff>
      <xdr:row>35</xdr:row>
      <xdr:rowOff>315669</xdr:rowOff>
    </xdr:from>
    <xdr:to>
      <xdr:col>5</xdr:col>
      <xdr:colOff>2505905</xdr:colOff>
      <xdr:row>35</xdr:row>
      <xdr:rowOff>3471130</xdr:rowOff>
    </xdr:to>
    <xdr:pic>
      <xdr:nvPicPr>
        <xdr:cNvPr id="6" name="Bild 2">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7973011" y="10666169"/>
          <a:ext cx="4105519" cy="3155461"/>
        </a:xfrm>
        <a:prstGeom prst="rect">
          <a:avLst/>
        </a:prstGeom>
      </xdr:spPr>
    </xdr:pic>
    <xdr:clientData/>
  </xdr:twoCellAnchor>
  <xdr:oneCellAnchor>
    <xdr:from>
      <xdr:col>3</xdr:col>
      <xdr:colOff>18806</xdr:colOff>
      <xdr:row>166</xdr:row>
      <xdr:rowOff>203932</xdr:rowOff>
    </xdr:from>
    <xdr:ext cx="3656256" cy="948836"/>
    <xdr:pic>
      <xdr:nvPicPr>
        <xdr:cNvPr id="7" name="Bild 2">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92119" y="55147307"/>
          <a:ext cx="3656256" cy="94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3841750</xdr:colOff>
      <xdr:row>166</xdr:row>
      <xdr:rowOff>216557</xdr:rowOff>
    </xdr:from>
    <xdr:to>
      <xdr:col>4</xdr:col>
      <xdr:colOff>1700458</xdr:colOff>
      <xdr:row>166</xdr:row>
      <xdr:rowOff>1131625</xdr:rowOff>
    </xdr:to>
    <xdr:pic>
      <xdr:nvPicPr>
        <xdr:cNvPr id="9" name="Bild 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5"/>
        <a:stretch>
          <a:fillRect/>
        </a:stretch>
      </xdr:blipFill>
      <xdr:spPr>
        <a:xfrm>
          <a:off x="6215063" y="55834620"/>
          <a:ext cx="3343520" cy="9150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18806</xdr:colOff>
      <xdr:row>169</xdr:row>
      <xdr:rowOff>203932</xdr:rowOff>
    </xdr:from>
    <xdr:ext cx="3990194" cy="948836"/>
    <xdr:pic>
      <xdr:nvPicPr>
        <xdr:cNvPr id="2" name="Bild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5498" y="60226086"/>
          <a:ext cx="3990194" cy="94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565638</xdr:colOff>
      <xdr:row>38</xdr:row>
      <xdr:rowOff>361461</xdr:rowOff>
    </xdr:from>
    <xdr:ext cx="4128987" cy="3262924"/>
    <xdr:pic>
      <xdr:nvPicPr>
        <xdr:cNvPr id="3" name="Bild 3">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107"/>
        <a:stretch/>
      </xdr:blipFill>
      <xdr:spPr bwMode="auto">
        <a:xfrm>
          <a:off x="2245946" y="7551615"/>
          <a:ext cx="4128987" cy="3262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4194721</xdr:colOff>
      <xdr:row>38</xdr:row>
      <xdr:rowOff>371231</xdr:rowOff>
    </xdr:from>
    <xdr:to>
      <xdr:col>4</xdr:col>
      <xdr:colOff>3348828</xdr:colOff>
      <xdr:row>38</xdr:row>
      <xdr:rowOff>3526692</xdr:rowOff>
    </xdr:to>
    <xdr:pic>
      <xdr:nvPicPr>
        <xdr:cNvPr id="5" name="Bild 2">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6451413" y="7561385"/>
          <a:ext cx="4107107" cy="3155461"/>
        </a:xfrm>
        <a:prstGeom prst="rect">
          <a:avLst/>
        </a:prstGeom>
      </xdr:spPr>
    </xdr:pic>
    <xdr:clientData/>
  </xdr:twoCellAnchor>
  <xdr:twoCellAnchor editAs="oneCell">
    <xdr:from>
      <xdr:col>3</xdr:col>
      <xdr:colOff>4845539</xdr:colOff>
      <xdr:row>169</xdr:row>
      <xdr:rowOff>201851</xdr:rowOff>
    </xdr:from>
    <xdr:to>
      <xdr:col>4</xdr:col>
      <xdr:colOff>3331309</xdr:colOff>
      <xdr:row>169</xdr:row>
      <xdr:rowOff>1142987</xdr:rowOff>
    </xdr:to>
    <xdr:pic>
      <xdr:nvPicPr>
        <xdr:cNvPr id="6" name="Bild 3">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7102231" y="60224005"/>
          <a:ext cx="3438770" cy="941136"/>
        </a:xfrm>
        <a:prstGeom prst="rect">
          <a:avLst/>
        </a:prstGeom>
      </xdr:spPr>
    </xdr:pic>
    <xdr:clientData/>
  </xdr:twoCellAnchor>
  <xdr:twoCellAnchor editAs="oneCell">
    <xdr:from>
      <xdr:col>0</xdr:col>
      <xdr:colOff>66411</xdr:colOff>
      <xdr:row>5</xdr:row>
      <xdr:rowOff>39685</xdr:rowOff>
    </xdr:from>
    <xdr:to>
      <xdr:col>3</xdr:col>
      <xdr:colOff>1268271</xdr:colOff>
      <xdr:row>5</xdr:row>
      <xdr:rowOff>992185</xdr:rowOff>
    </xdr:to>
    <xdr:pic>
      <xdr:nvPicPr>
        <xdr:cNvPr id="7" name="Bild 3">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6411" y="1222373"/>
          <a:ext cx="3448173"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wiss-icu-cert.ch/de/Zertifikation" TargetMode="External"/><Relationship Id="rId2" Type="http://schemas.openxmlformats.org/officeDocument/2006/relationships/hyperlink" Target="https://www.swiss-icu-cert.ch/fr/demande-de-certification" TargetMode="External"/><Relationship Id="rId1" Type="http://schemas.openxmlformats.org/officeDocument/2006/relationships/hyperlink" Target="mailto:info@swiss-icu-cert.ch"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hyperlink" Target="https://www.fr.ch/sites/default/files/contens/seca/_www/files/pdf98/extraitnormesia416de.pdf"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B42"/>
  <sheetViews>
    <sheetView zoomScale="117" workbookViewId="0">
      <pane xSplit="1" ySplit="2" topLeftCell="B3" activePane="bottomRight" state="frozen"/>
      <selection activeCell="B41" sqref="B41:F41"/>
      <selection pane="topRight" activeCell="B41" sqref="B41:F41"/>
      <selection pane="bottomLeft" activeCell="B41" sqref="B41:F41"/>
      <selection pane="bottomRight" activeCell="A3" sqref="A3"/>
    </sheetView>
  </sheetViews>
  <sheetFormatPr baseColWidth="10" defaultColWidth="10.83203125" defaultRowHeight="16"/>
  <cols>
    <col min="1" max="1" width="9.6640625" customWidth="1"/>
    <col min="2" max="2" width="48.6640625" customWidth="1"/>
    <col min="3" max="3" width="14" customWidth="1"/>
    <col min="4" max="4" width="7.6640625" style="510" customWidth="1"/>
    <col min="5" max="5" width="13.83203125" style="464" customWidth="1"/>
    <col min="6" max="6" width="35.6640625" style="464" customWidth="1"/>
    <col min="7" max="7" width="46.6640625" customWidth="1"/>
    <col min="8" max="19" width="12.1640625" customWidth="1"/>
    <col min="20" max="20" width="10.33203125" customWidth="1"/>
    <col min="21" max="21" width="4.6640625" customWidth="1"/>
    <col min="22" max="22" width="5.5" customWidth="1"/>
    <col min="23" max="23" width="31.6640625" style="1987" customWidth="1"/>
    <col min="24" max="24" width="31.6640625" customWidth="1"/>
    <col min="25" max="25" width="21.1640625" customWidth="1"/>
    <col min="26" max="27" width="31.6640625" customWidth="1"/>
    <col min="28" max="28" width="21.1640625" style="1989" customWidth="1"/>
    <col min="29" max="29" width="6.83203125" customWidth="1"/>
  </cols>
  <sheetData>
    <row r="1" spans="1:28" ht="39" customHeight="1" thickBot="1">
      <c r="A1" s="1039" t="s">
        <v>442</v>
      </c>
      <c r="B1" s="1111" t="s">
        <v>1077</v>
      </c>
      <c r="C1" s="1112"/>
      <c r="D1" s="1119"/>
      <c r="Q1" s="1998" t="s">
        <v>2180</v>
      </c>
      <c r="R1" s="1998" t="s">
        <v>2180</v>
      </c>
      <c r="S1" s="1998" t="s">
        <v>2180</v>
      </c>
      <c r="T1" s="1998" t="s">
        <v>2180</v>
      </c>
      <c r="U1" s="2201"/>
      <c r="W1" s="1984" t="s">
        <v>446</v>
      </c>
      <c r="X1" s="1985" t="s">
        <v>448</v>
      </c>
      <c r="Y1" s="1986" t="s">
        <v>773</v>
      </c>
      <c r="Z1" s="1984" t="s">
        <v>447</v>
      </c>
      <c r="AA1" s="1985" t="s">
        <v>449</v>
      </c>
      <c r="AB1" s="1986" t="s">
        <v>772</v>
      </c>
    </row>
    <row r="2" spans="1:28" ht="9" customHeight="1">
      <c r="A2" s="1944"/>
      <c r="B2" s="1112"/>
      <c r="C2" s="1112"/>
      <c r="D2" s="1119"/>
      <c r="Q2" s="510"/>
      <c r="R2" s="510"/>
      <c r="S2" s="510"/>
      <c r="T2" s="510"/>
      <c r="U2" s="2201"/>
      <c r="W2" s="420"/>
      <c r="X2" s="421"/>
      <c r="Y2" s="364"/>
      <c r="Z2" s="420"/>
      <c r="AA2" s="421"/>
      <c r="AB2" s="846"/>
    </row>
    <row r="3" spans="1:28" ht="43" customHeight="1">
      <c r="A3" s="1982"/>
      <c r="B3" s="1115" t="str">
        <f>Y4</f>
        <v>Prozedere für die Visite (betrifft nur die Experten ZK  und IMK)</v>
      </c>
      <c r="C3" s="1943" t="str">
        <f>Y3</f>
        <v>Name Reiter Excel</v>
      </c>
      <c r="D3" s="1943"/>
      <c r="E3" s="1117" t="str">
        <f>AB3</f>
        <v>Wer?</v>
      </c>
      <c r="F3" s="1117" t="str">
        <f>AB4</f>
        <v>Wann?</v>
      </c>
      <c r="G3" s="1116" t="str">
        <f>AB5</f>
        <v>Bemerkungen</v>
      </c>
      <c r="W3" s="420" t="s">
        <v>2542</v>
      </c>
      <c r="X3" s="421" t="s">
        <v>1375</v>
      </c>
      <c r="Y3" s="364" t="str">
        <f>IF(W3=0,"",IF($A$1="D",W3,X3))</f>
        <v>Name Reiter Excel</v>
      </c>
      <c r="Z3" s="258" t="s">
        <v>1372</v>
      </c>
      <c r="AA3" s="781" t="s">
        <v>1370</v>
      </c>
      <c r="AB3" s="1118" t="str">
        <f t="shared" ref="AB3:AB11" si="0">IF(Z3=0,"",IF($A$1="D",Z3,AA3))</f>
        <v>Wer?</v>
      </c>
    </row>
    <row r="4" spans="1:28" s="799" customFormat="1" ht="22" customHeight="1">
      <c r="A4" s="1171"/>
      <c r="B4" s="1983"/>
      <c r="C4" s="1983"/>
      <c r="D4" s="1983"/>
      <c r="E4" s="1983"/>
      <c r="F4" s="1983"/>
      <c r="G4" s="1983"/>
      <c r="H4" s="805"/>
      <c r="I4" s="805"/>
      <c r="J4" s="805"/>
      <c r="K4" s="805"/>
      <c r="L4" s="805"/>
      <c r="M4" s="805"/>
      <c r="N4" s="805"/>
      <c r="O4" s="805"/>
      <c r="P4" s="805"/>
      <c r="Q4" s="805"/>
      <c r="R4" s="805"/>
      <c r="S4" s="805"/>
      <c r="T4"/>
      <c r="U4"/>
      <c r="W4" s="420" t="s">
        <v>1390</v>
      </c>
      <c r="X4" s="421" t="s">
        <v>1391</v>
      </c>
      <c r="Y4" s="364" t="str">
        <f>IF(W4=0,"",IF($A$1="D",W4,X4))</f>
        <v>Prozedere für die Visite (betrifft nur die Experten ZK  und IMK)</v>
      </c>
      <c r="Z4" s="258" t="s">
        <v>1448</v>
      </c>
      <c r="AA4" s="781" t="s">
        <v>1449</v>
      </c>
      <c r="AB4" s="1118" t="str">
        <f t="shared" si="0"/>
        <v>Wann?</v>
      </c>
    </row>
    <row r="5" spans="1:28" s="799" customFormat="1" ht="29.25" customHeight="1">
      <c r="A5" s="1431" t="str">
        <f>AB13</f>
        <v>Etappe</v>
      </c>
      <c r="B5" s="2200"/>
      <c r="C5" s="2200"/>
      <c r="D5" s="1122"/>
      <c r="E5" s="1428"/>
      <c r="F5" s="1432"/>
      <c r="G5" s="1433"/>
      <c r="H5" s="805"/>
      <c r="I5" s="805"/>
      <c r="J5" s="805"/>
      <c r="K5" s="805"/>
      <c r="L5" s="805"/>
      <c r="M5" s="805"/>
      <c r="N5" s="805"/>
      <c r="O5" s="805"/>
      <c r="P5" s="805"/>
      <c r="Q5" s="805"/>
      <c r="R5" s="805"/>
      <c r="S5" s="805"/>
      <c r="T5"/>
      <c r="U5"/>
      <c r="W5" s="420"/>
      <c r="X5" s="421"/>
      <c r="Y5" s="364"/>
      <c r="Z5" s="258" t="s">
        <v>1373</v>
      </c>
      <c r="AA5" s="781" t="s">
        <v>1371</v>
      </c>
      <c r="AB5" s="1118" t="str">
        <f t="shared" si="0"/>
        <v>Bemerkungen</v>
      </c>
    </row>
    <row r="6" spans="1:28" s="799" customFormat="1" ht="30" customHeight="1">
      <c r="A6" s="1427" t="s">
        <v>1365</v>
      </c>
      <c r="B6" s="1429" t="str">
        <f t="shared" ref="B6:B19" si="1">Y6</f>
        <v>Kontrolle aller Dateien des Antrags</v>
      </c>
      <c r="C6" s="1434" t="s">
        <v>1095</v>
      </c>
      <c r="D6" s="1435"/>
      <c r="E6" s="1428" t="str">
        <f>$AB$6</f>
        <v>IMK</v>
      </c>
      <c r="F6" s="1432" t="str">
        <f>$AB$8</f>
        <v>Vor Verteilen der Dokument</v>
      </c>
      <c r="G6" s="1436"/>
      <c r="H6" s="805"/>
      <c r="I6" s="805"/>
      <c r="J6" s="805"/>
      <c r="K6" s="805"/>
      <c r="L6" s="805"/>
      <c r="M6" s="805"/>
      <c r="N6" s="805"/>
      <c r="O6" s="805"/>
      <c r="P6" s="805"/>
      <c r="Q6" s="805"/>
      <c r="R6" s="805"/>
      <c r="S6" s="805"/>
      <c r="T6"/>
      <c r="W6" s="420" t="s">
        <v>1383</v>
      </c>
      <c r="X6" s="421" t="s">
        <v>1386</v>
      </c>
      <c r="Y6" s="364" t="str">
        <f t="shared" ref="Y6:Y24" si="2">IF(W6=0,"",IF($A$1="D",W6,X6))</f>
        <v>Kontrolle aller Dateien des Antrags</v>
      </c>
      <c r="Z6" s="420" t="s">
        <v>1380</v>
      </c>
      <c r="AA6" s="421" t="s">
        <v>1380</v>
      </c>
      <c r="AB6" s="846" t="str">
        <f t="shared" si="0"/>
        <v>IMK</v>
      </c>
    </row>
    <row r="7" spans="1:28" s="799" customFormat="1" ht="30" customHeight="1">
      <c r="A7" s="1427" t="s">
        <v>1087</v>
      </c>
      <c r="B7" s="1429" t="str">
        <f t="shared" si="1"/>
        <v>Korrektur der Dateinamen falls nötig</v>
      </c>
      <c r="C7" s="1434" t="s">
        <v>2181</v>
      </c>
      <c r="D7" s="1435"/>
      <c r="E7" s="1428" t="str">
        <f>$AB$6</f>
        <v>IMK</v>
      </c>
      <c r="F7" s="1432" t="str">
        <f>$AB$8</f>
        <v>Vor Verteilen der Dokument</v>
      </c>
      <c r="G7" s="1436"/>
      <c r="H7" s="805"/>
      <c r="I7" s="805"/>
      <c r="J7" s="805"/>
      <c r="K7" s="805"/>
      <c r="L7" s="805"/>
      <c r="M7" s="805"/>
      <c r="N7" s="805"/>
      <c r="O7" s="805"/>
      <c r="P7" s="805"/>
      <c r="Q7" s="805"/>
      <c r="R7" s="805"/>
      <c r="S7" s="805"/>
      <c r="T7"/>
      <c r="W7" s="420" t="s">
        <v>1384</v>
      </c>
      <c r="X7" s="421" t="s">
        <v>1385</v>
      </c>
      <c r="Y7" s="364" t="str">
        <f t="shared" si="2"/>
        <v>Korrektur der Dateinamen falls nötig</v>
      </c>
      <c r="Z7" s="420" t="s">
        <v>1381</v>
      </c>
      <c r="AA7" s="421" t="s">
        <v>1382</v>
      </c>
      <c r="AB7" s="846" t="str">
        <f t="shared" si="0"/>
        <v>Experte ZK</v>
      </c>
    </row>
    <row r="8" spans="1:28" s="799" customFormat="1" ht="37" customHeight="1">
      <c r="A8" s="1427" t="s">
        <v>1088</v>
      </c>
      <c r="B8" s="1429" t="str">
        <f t="shared" si="1"/>
        <v>Ausfüllen der bereits bekannten Information, v.a. Vorgeschichte</v>
      </c>
      <c r="C8" s="1434" t="s">
        <v>1389</v>
      </c>
      <c r="D8" s="1435"/>
      <c r="E8" s="1428" t="str">
        <f>$AB$6</f>
        <v>IMK</v>
      </c>
      <c r="F8" s="1432" t="str">
        <f>$AB$8</f>
        <v>Vor Verteilen der Dokument</v>
      </c>
      <c r="G8" s="1436"/>
      <c r="H8" s="805"/>
      <c r="I8" s="805"/>
      <c r="J8" s="805"/>
      <c r="K8" s="805"/>
      <c r="L8" s="805"/>
      <c r="M8" s="805"/>
      <c r="N8" s="805"/>
      <c r="O8" s="805"/>
      <c r="P8" s="805"/>
      <c r="Q8" s="805"/>
      <c r="R8" s="805"/>
      <c r="S8" s="805"/>
      <c r="T8"/>
      <c r="W8" s="420" t="s">
        <v>1388</v>
      </c>
      <c r="X8" s="421" t="s">
        <v>1387</v>
      </c>
      <c r="Y8" s="364" t="str">
        <f t="shared" si="2"/>
        <v>Ausfüllen der bereits bekannten Information, v.a. Vorgeschichte</v>
      </c>
      <c r="Z8" s="420" t="s">
        <v>1392</v>
      </c>
      <c r="AA8" s="421" t="s">
        <v>1393</v>
      </c>
      <c r="AB8" s="846" t="str">
        <f t="shared" si="0"/>
        <v>Vor Verteilen der Dokument</v>
      </c>
    </row>
    <row r="9" spans="1:28" s="799" customFormat="1" ht="44.25" customHeight="1">
      <c r="A9" s="1427" t="s">
        <v>1089</v>
      </c>
      <c r="B9" s="1429" t="str">
        <f t="shared" si="1"/>
        <v>Durchlesen der Dokumente, allgemeine Kontrolle, Korrektur falls nötig</v>
      </c>
      <c r="C9" s="1434" t="s">
        <v>2182</v>
      </c>
      <c r="D9" s="1435"/>
      <c r="E9" s="1428" t="str">
        <f t="shared" ref="E9:E14" si="3">$AB$7</f>
        <v>Experte ZK</v>
      </c>
      <c r="F9" s="1432" t="str">
        <f>$AB$9</f>
        <v>Vor der Visitation de IS</v>
      </c>
      <c r="G9" s="1436"/>
      <c r="H9" s="805"/>
      <c r="I9" s="805"/>
      <c r="J9" s="805"/>
      <c r="K9" s="805"/>
      <c r="L9" s="805"/>
      <c r="M9" s="805"/>
      <c r="N9" s="805"/>
      <c r="O9" s="805"/>
      <c r="P9" s="805"/>
      <c r="Q9" s="805"/>
      <c r="R9" s="805"/>
      <c r="S9" s="805"/>
      <c r="T9"/>
      <c r="W9" s="420" t="s">
        <v>1398</v>
      </c>
      <c r="X9" s="421" t="s">
        <v>1399</v>
      </c>
      <c r="Y9" s="364" t="str">
        <f t="shared" si="2"/>
        <v>Durchlesen der Dokumente, allgemeine Kontrolle, Korrektur falls nötig</v>
      </c>
      <c r="Z9" s="420" t="s">
        <v>1395</v>
      </c>
      <c r="AA9" s="421" t="s">
        <v>1394</v>
      </c>
      <c r="AB9" s="846" t="str">
        <f t="shared" si="0"/>
        <v>Vor der Visitation de IS</v>
      </c>
    </row>
    <row r="10" spans="1:28" s="799" customFormat="1" ht="37" customHeight="1">
      <c r="A10" s="1427" t="s">
        <v>1090</v>
      </c>
      <c r="B10" s="1429" t="str">
        <f t="shared" si="1"/>
        <v>Vervollständigen der Information, die vor der Visitation bekannt ist (Name Experten, Datum Visitation, etc)</v>
      </c>
      <c r="C10" s="1434" t="s">
        <v>1389</v>
      </c>
      <c r="D10" s="1435"/>
      <c r="E10" s="1428" t="str">
        <f t="shared" si="3"/>
        <v>Experte ZK</v>
      </c>
      <c r="F10" s="1432" t="str">
        <f>$AB$9</f>
        <v>Vor der Visitation de IS</v>
      </c>
      <c r="G10" s="1436"/>
      <c r="H10" s="805"/>
      <c r="I10" s="805"/>
      <c r="J10" s="805"/>
      <c r="K10" s="805"/>
      <c r="L10" s="805"/>
      <c r="M10" s="805"/>
      <c r="N10" s="805"/>
      <c r="O10" s="805"/>
      <c r="P10" s="805"/>
      <c r="Q10" s="805"/>
      <c r="R10" s="805"/>
      <c r="S10" s="805"/>
      <c r="T10"/>
      <c r="W10" s="420" t="s">
        <v>1400</v>
      </c>
      <c r="X10" s="421" t="s">
        <v>1401</v>
      </c>
      <c r="Y10" s="364" t="str">
        <f t="shared" si="2"/>
        <v>Vervollständigen der Information, die vor der Visitation bekannt ist (Name Experten, Datum Visitation, etc)</v>
      </c>
      <c r="Z10" s="420" t="s">
        <v>1396</v>
      </c>
      <c r="AA10" s="421" t="s">
        <v>1397</v>
      </c>
      <c r="AB10" s="846" t="str">
        <f t="shared" si="0"/>
        <v>Nach der Visitation de IS</v>
      </c>
    </row>
    <row r="11" spans="1:28" s="799" customFormat="1" ht="39" customHeight="1">
      <c r="A11" s="1427" t="s">
        <v>1698</v>
      </c>
      <c r="B11" s="1429" t="str">
        <f t="shared" si="1"/>
        <v>Erstellen des Zeitplans der Visitation und Zusendung per Mail an die Leitung</v>
      </c>
      <c r="C11" s="1434" t="s">
        <v>1695</v>
      </c>
      <c r="D11" s="1435"/>
      <c r="E11" s="1428" t="str">
        <f t="shared" si="3"/>
        <v>Experte ZK</v>
      </c>
      <c r="F11" s="1432" t="str">
        <f>$AB$9</f>
        <v>Vor der Visitation de IS</v>
      </c>
      <c r="G11" s="1436"/>
      <c r="H11" s="805"/>
      <c r="I11" s="805"/>
      <c r="J11" s="805"/>
      <c r="K11" s="805"/>
      <c r="L11" s="805"/>
      <c r="M11" s="805"/>
      <c r="N11" s="805"/>
      <c r="O11" s="805"/>
      <c r="P11" s="805"/>
      <c r="Q11" s="805"/>
      <c r="R11" s="805"/>
      <c r="S11" s="805"/>
      <c r="T11"/>
      <c r="W11" s="420" t="s">
        <v>1696</v>
      </c>
      <c r="X11" s="421" t="s">
        <v>1697</v>
      </c>
      <c r="Y11" s="364" t="str">
        <f t="shared" si="2"/>
        <v>Erstellen des Zeitplans der Visitation und Zusendung per Mail an die Leitung</v>
      </c>
      <c r="Z11" s="420" t="s">
        <v>1437</v>
      </c>
      <c r="AA11" s="421" t="s">
        <v>1404</v>
      </c>
      <c r="AB11" s="846" t="str">
        <f t="shared" si="0"/>
        <v>Während der Visite</v>
      </c>
    </row>
    <row r="12" spans="1:28" s="799" customFormat="1" ht="36" customHeight="1">
      <c r="A12" s="1428">
        <v>7</v>
      </c>
      <c r="B12" s="1429" t="str">
        <f t="shared" si="1"/>
        <v>Ausdrucken der Visitations-Blätter (A3, 1 Exemplar pro Experte)</v>
      </c>
      <c r="C12" s="1434" t="s">
        <v>1389</v>
      </c>
      <c r="D12" s="1435"/>
      <c r="E12" s="1428" t="str">
        <f t="shared" si="3"/>
        <v>Experte ZK</v>
      </c>
      <c r="F12" s="1432" t="str">
        <f>$AB$9</f>
        <v>Vor der Visitation de IS</v>
      </c>
      <c r="G12" s="1436"/>
      <c r="H12" s="805"/>
      <c r="I12" s="805"/>
      <c r="J12" s="805"/>
      <c r="K12" s="805"/>
      <c r="L12" s="805"/>
      <c r="M12" s="805"/>
      <c r="N12" s="805"/>
      <c r="O12" s="805"/>
      <c r="P12" s="805"/>
      <c r="Q12" s="805"/>
      <c r="R12" s="805"/>
      <c r="S12" s="805"/>
      <c r="T12"/>
      <c r="W12" s="420" t="s">
        <v>1403</v>
      </c>
      <c r="X12" s="421" t="s">
        <v>1402</v>
      </c>
      <c r="Y12" s="364" t="str">
        <f t="shared" si="2"/>
        <v>Ausdrucken der Visitations-Blätter (A3, 1 Exemplar pro Experte)</v>
      </c>
      <c r="Z12" s="420"/>
      <c r="AA12" s="421"/>
      <c r="AB12" s="846"/>
    </row>
    <row r="13" spans="1:28" s="799" customFormat="1" ht="37" customHeight="1">
      <c r="A13" s="1428">
        <v>8</v>
      </c>
      <c r="B13" s="1429" t="str">
        <f t="shared" si="1"/>
        <v>Ausfüllen per Hand aller Kriterien, Kommentare und andere Details</v>
      </c>
      <c r="C13" s="1434" t="s">
        <v>1095</v>
      </c>
      <c r="D13" s="1435"/>
      <c r="E13" s="1428" t="str">
        <f t="shared" si="3"/>
        <v>Experte ZK</v>
      </c>
      <c r="F13" s="1432" t="str">
        <f>AB11</f>
        <v>Während der Visite</v>
      </c>
      <c r="G13" s="1436"/>
      <c r="H13" s="805"/>
      <c r="I13" s="805"/>
      <c r="J13" s="805"/>
      <c r="K13" s="805"/>
      <c r="L13" s="805"/>
      <c r="M13" s="805"/>
      <c r="N13" s="805"/>
      <c r="O13" s="805"/>
      <c r="P13" s="805"/>
      <c r="Q13" s="805"/>
      <c r="R13" s="805"/>
      <c r="S13" s="805"/>
      <c r="T13"/>
      <c r="W13" s="420" t="s">
        <v>1406</v>
      </c>
      <c r="X13" s="421" t="s">
        <v>1405</v>
      </c>
      <c r="Y13" s="364" t="str">
        <f t="shared" si="2"/>
        <v>Ausfüllen per Hand aller Kriterien, Kommentare und andere Details</v>
      </c>
      <c r="Z13" s="258" t="s">
        <v>1086</v>
      </c>
      <c r="AA13" s="781" t="s">
        <v>1272</v>
      </c>
      <c r="AB13" s="1118" t="str">
        <f>IF(Z13=0,"",IF($A$1="D",Z13,AA13))</f>
        <v>Etappe</v>
      </c>
    </row>
    <row r="14" spans="1:28" s="799" customFormat="1" ht="30" customHeight="1">
      <c r="A14" s="1428">
        <v>9</v>
      </c>
      <c r="B14" s="1429" t="str">
        <f t="shared" si="1"/>
        <v>Ausfüllen aller während der Visite erhobenen Daten:</v>
      </c>
      <c r="C14" s="1434" t="s">
        <v>1389</v>
      </c>
      <c r="D14" s="1435"/>
      <c r="E14" s="1428" t="str">
        <f t="shared" si="3"/>
        <v>Experte ZK</v>
      </c>
      <c r="F14" s="1432" t="str">
        <f>$AB$14</f>
        <v>Während oder nach der Visite</v>
      </c>
      <c r="G14" s="1436"/>
      <c r="H14" s="805"/>
      <c r="I14" s="805"/>
      <c r="J14" s="805"/>
      <c r="K14" s="805"/>
      <c r="L14" s="805"/>
      <c r="M14" s="805"/>
      <c r="N14" s="805"/>
      <c r="O14" s="805"/>
      <c r="P14" s="805"/>
      <c r="Q14" s="805"/>
      <c r="R14" s="805"/>
      <c r="S14" s="805"/>
      <c r="T14"/>
      <c r="W14" s="420" t="s">
        <v>1407</v>
      </c>
      <c r="X14" s="421" t="s">
        <v>1408</v>
      </c>
      <c r="Y14" s="364" t="str">
        <f t="shared" si="2"/>
        <v>Ausfüllen aller während der Visite erhobenen Daten:</v>
      </c>
      <c r="Z14" s="420" t="s">
        <v>1726</v>
      </c>
      <c r="AA14" s="421" t="s">
        <v>1727</v>
      </c>
      <c r="AB14" s="846" t="str">
        <f t="shared" ref="AB14:AB24" si="4">IF(Z14=0,"",IF($A$1="D",Z14,AA14))</f>
        <v>Während oder nach der Visite</v>
      </c>
    </row>
    <row r="15" spans="1:28" s="799" customFormat="1" ht="22.5" customHeight="1">
      <c r="A15" s="1428"/>
      <c r="B15" s="1430" t="str">
        <f t="shared" si="1"/>
        <v>Datum, Zeit, Name der Experten u. Teilnehmer.</v>
      </c>
      <c r="C15" s="1434" t="s">
        <v>1389</v>
      </c>
      <c r="D15" s="1435" t="s">
        <v>1413</v>
      </c>
      <c r="E15" s="1428" t="s">
        <v>1422</v>
      </c>
      <c r="F15" s="1428" t="s">
        <v>1422</v>
      </c>
      <c r="G15" s="1436"/>
      <c r="H15" s="805"/>
      <c r="I15" s="805"/>
      <c r="J15" s="805"/>
      <c r="K15" s="805"/>
      <c r="L15" s="805"/>
      <c r="M15" s="805"/>
      <c r="N15" s="805"/>
      <c r="O15" s="805"/>
      <c r="P15" s="805"/>
      <c r="Q15" s="805"/>
      <c r="R15" s="805"/>
      <c r="S15" s="805"/>
      <c r="T15"/>
      <c r="W15" s="420" t="s">
        <v>1409</v>
      </c>
      <c r="X15" s="421" t="s">
        <v>1410</v>
      </c>
      <c r="Y15" s="364" t="str">
        <f t="shared" si="2"/>
        <v>Datum, Zeit, Name der Experten u. Teilnehmer.</v>
      </c>
      <c r="Z15" s="420"/>
      <c r="AA15" s="421"/>
      <c r="AB15" s="846" t="str">
        <f t="shared" si="4"/>
        <v/>
      </c>
    </row>
    <row r="16" spans="1:28" s="799" customFormat="1" ht="22.5" customHeight="1">
      <c r="A16" s="1428"/>
      <c r="B16" s="1430" t="str">
        <f t="shared" si="1"/>
        <v>Spezifische Kriterien: Punktevergabe und Kommentare</v>
      </c>
      <c r="C16" s="1434" t="s">
        <v>1389</v>
      </c>
      <c r="D16" s="1435" t="s">
        <v>1414</v>
      </c>
      <c r="E16" s="1428" t="s">
        <v>1422</v>
      </c>
      <c r="F16" s="1428" t="s">
        <v>1422</v>
      </c>
      <c r="G16" s="1436"/>
      <c r="H16" s="805"/>
      <c r="I16" s="805"/>
      <c r="J16" s="805"/>
      <c r="K16" s="805"/>
      <c r="L16" s="805"/>
      <c r="M16" s="805"/>
      <c r="N16" s="805"/>
      <c r="O16" s="805"/>
      <c r="P16" s="805"/>
      <c r="Q16" s="805"/>
      <c r="R16" s="805"/>
      <c r="S16" s="805"/>
      <c r="T16"/>
      <c r="W16" s="420" t="s">
        <v>1416</v>
      </c>
      <c r="X16" s="421" t="s">
        <v>1415</v>
      </c>
      <c r="Y16" s="364" t="str">
        <f t="shared" si="2"/>
        <v>Spezifische Kriterien: Punktevergabe und Kommentare</v>
      </c>
      <c r="Z16" s="420"/>
      <c r="AA16" s="421"/>
      <c r="AB16" s="846" t="str">
        <f t="shared" si="4"/>
        <v/>
      </c>
    </row>
    <row r="17" spans="1:28" s="799" customFormat="1" ht="43" customHeight="1">
      <c r="A17" s="1428"/>
      <c r="B17" s="1430" t="str">
        <f t="shared" si="1"/>
        <v>Zusammenfassung pro Kapitel, Vorschlag für Zertifizierung, abschliessende Kommentare</v>
      </c>
      <c r="C17" s="1434" t="s">
        <v>1389</v>
      </c>
      <c r="D17" s="1435" t="s">
        <v>1419</v>
      </c>
      <c r="E17" s="1428" t="s">
        <v>1422</v>
      </c>
      <c r="F17" s="1428" t="s">
        <v>1422</v>
      </c>
      <c r="G17" s="1437" t="str">
        <f>AB17</f>
        <v>Die abschliessenden Bemerkungen werden nur in die blauen Feldern dieser Spalte eingetragen. Werden dann automatisch in den Abschlussbericht übernommen.</v>
      </c>
      <c r="H17" s="805"/>
      <c r="I17" s="805"/>
      <c r="J17" s="805"/>
      <c r="K17" s="805"/>
      <c r="L17" s="805"/>
      <c r="M17" s="805"/>
      <c r="N17" s="805"/>
      <c r="O17" s="805"/>
      <c r="P17" s="805"/>
      <c r="Q17" s="805"/>
      <c r="R17" s="805"/>
      <c r="S17" s="805"/>
      <c r="T17"/>
      <c r="W17" s="420" t="s">
        <v>1417</v>
      </c>
      <c r="X17" s="421" t="s">
        <v>1418</v>
      </c>
      <c r="Y17" s="364" t="str">
        <f t="shared" si="2"/>
        <v>Zusammenfassung pro Kapitel, Vorschlag für Zertifizierung, abschliessende Kommentare</v>
      </c>
      <c r="Z17" s="420" t="s">
        <v>1420</v>
      </c>
      <c r="AA17" s="421" t="s">
        <v>1421</v>
      </c>
      <c r="AB17" s="846" t="str">
        <f t="shared" si="4"/>
        <v>Die abschliessenden Bemerkungen werden nur in die blauen Feldern dieser Spalte eingetragen. Werden dann automatisch in den Abschlussbericht übernommen.</v>
      </c>
    </row>
    <row r="18" spans="1:28" s="799" customFormat="1" ht="22.5" customHeight="1">
      <c r="A18" s="1428">
        <v>10</v>
      </c>
      <c r="B18" s="1429" t="str">
        <f t="shared" si="1"/>
        <v>Validierung von allen Experten</v>
      </c>
      <c r="C18" s="1434"/>
      <c r="D18" s="1435"/>
      <c r="E18" s="1428" t="str">
        <f>$AB$7</f>
        <v>Experte ZK</v>
      </c>
      <c r="F18" s="1432" t="str">
        <f>$AB$10</f>
        <v>Nach der Visitation de IS</v>
      </c>
      <c r="G18" s="1436"/>
      <c r="H18" s="805"/>
      <c r="I18" s="805"/>
      <c r="J18" s="805"/>
      <c r="K18" s="805"/>
      <c r="L18" s="805"/>
      <c r="M18" s="805"/>
      <c r="N18" s="805"/>
      <c r="O18" s="805"/>
      <c r="P18" s="805"/>
      <c r="Q18" s="805"/>
      <c r="R18" s="805"/>
      <c r="S18" s="805"/>
      <c r="T18"/>
      <c r="W18" s="420" t="s">
        <v>1429</v>
      </c>
      <c r="X18" s="421" t="s">
        <v>1428</v>
      </c>
      <c r="Y18" s="364" t="str">
        <f t="shared" si="2"/>
        <v>Validierung von allen Experten</v>
      </c>
      <c r="Z18" s="420"/>
      <c r="AA18" s="421"/>
      <c r="AB18" s="846" t="str">
        <f t="shared" si="4"/>
        <v/>
      </c>
    </row>
    <row r="19" spans="1:28" s="799" customFormat="1" ht="22.5" customHeight="1">
      <c r="A19" s="1428"/>
      <c r="B19" s="1430" t="str">
        <f t="shared" si="1"/>
        <v>Kommentare pro Experte können rechts eingegeben werden</v>
      </c>
      <c r="C19" s="1434" t="s">
        <v>1389</v>
      </c>
      <c r="D19" s="1435" t="s">
        <v>1430</v>
      </c>
      <c r="E19" s="1428" t="s">
        <v>1422</v>
      </c>
      <c r="F19" s="1428" t="s">
        <v>1422</v>
      </c>
      <c r="G19" s="1436"/>
      <c r="H19" s="805"/>
      <c r="I19" s="805"/>
      <c r="J19" s="805"/>
      <c r="K19" s="805"/>
      <c r="L19" s="805"/>
      <c r="M19" s="805"/>
      <c r="N19" s="805"/>
      <c r="O19" s="805"/>
      <c r="P19" s="805"/>
      <c r="Q19" s="805"/>
      <c r="R19" s="805"/>
      <c r="S19" s="805"/>
      <c r="T19"/>
      <c r="W19" s="420" t="s">
        <v>1431</v>
      </c>
      <c r="X19" s="421" t="s">
        <v>1432</v>
      </c>
      <c r="Y19" s="364" t="str">
        <f t="shared" si="2"/>
        <v>Kommentare pro Experte können rechts eingegeben werden</v>
      </c>
      <c r="Z19" s="420"/>
      <c r="AA19" s="421"/>
      <c r="AB19" s="846" t="str">
        <f t="shared" si="4"/>
        <v/>
      </c>
    </row>
    <row r="20" spans="1:28" s="799" customFormat="1" ht="21.75" customHeight="1">
      <c r="A20" s="1428">
        <v>11</v>
      </c>
      <c r="B20" s="1430" t="str">
        <f>Y20</f>
        <v>Generierung detaillierten pdf-Report</v>
      </c>
      <c r="C20" s="1434" t="s">
        <v>1389</v>
      </c>
      <c r="D20" s="1435"/>
      <c r="E20" s="1428" t="str">
        <f>$AB$7</f>
        <v>Experte ZK</v>
      </c>
      <c r="F20" s="1432" t="str">
        <f>$AB$10</f>
        <v>Nach der Visitation de IS</v>
      </c>
      <c r="G20" s="1436" t="str">
        <f>AB20</f>
        <v/>
      </c>
      <c r="H20" s="805"/>
      <c r="I20" s="805"/>
      <c r="J20" s="805"/>
      <c r="K20" s="805"/>
      <c r="L20" s="805"/>
      <c r="M20" s="805"/>
      <c r="N20" s="805"/>
      <c r="O20" s="805"/>
      <c r="P20" s="805"/>
      <c r="Q20" s="805"/>
      <c r="R20" s="805"/>
      <c r="S20" s="805"/>
      <c r="T20"/>
      <c r="W20" s="420" t="s">
        <v>1425</v>
      </c>
      <c r="X20" s="421" t="s">
        <v>1423</v>
      </c>
      <c r="Y20" s="364" t="str">
        <f t="shared" si="2"/>
        <v>Generierung detaillierten pdf-Report</v>
      </c>
      <c r="Z20" s="420"/>
      <c r="AA20" s="421"/>
      <c r="AB20" s="846" t="str">
        <f t="shared" si="4"/>
        <v/>
      </c>
    </row>
    <row r="21" spans="1:28" s="799" customFormat="1" ht="21.75" customHeight="1">
      <c r="A21" s="1428">
        <v>12</v>
      </c>
      <c r="B21" s="1430" t="str">
        <f>Y21</f>
        <v>Generierung kurzer pdf-Report</v>
      </c>
      <c r="C21" s="1434" t="s">
        <v>1424</v>
      </c>
      <c r="D21" s="1435"/>
      <c r="E21" s="1428" t="str">
        <f>$AB$7</f>
        <v>Experte ZK</v>
      </c>
      <c r="F21" s="1432" t="str">
        <f>$AB$10</f>
        <v>Nach der Visitation de IS</v>
      </c>
      <c r="G21" s="1436" t="str">
        <f>AB21</f>
        <v/>
      </c>
      <c r="H21" s="805"/>
      <c r="I21" s="805"/>
      <c r="J21" s="805"/>
      <c r="K21" s="805"/>
      <c r="L21" s="805"/>
      <c r="M21" s="805"/>
      <c r="N21" s="805"/>
      <c r="O21" s="805"/>
      <c r="P21" s="805"/>
      <c r="Q21" s="805"/>
      <c r="R21" s="805"/>
      <c r="S21" s="805"/>
      <c r="T21"/>
      <c r="W21" s="420" t="s">
        <v>1426</v>
      </c>
      <c r="X21" s="421" t="s">
        <v>1427</v>
      </c>
      <c r="Y21" s="364" t="str">
        <f t="shared" si="2"/>
        <v>Generierung kurzer pdf-Report</v>
      </c>
      <c r="Z21" s="420"/>
      <c r="AA21" s="421"/>
      <c r="AB21" s="846" t="str">
        <f t="shared" si="4"/>
        <v/>
      </c>
    </row>
    <row r="22" spans="1:28" s="799" customFormat="1" ht="21.75" customHeight="1">
      <c r="A22" s="1428">
        <v>13</v>
      </c>
      <c r="B22" s="1430" t="str">
        <f>Y22</f>
        <v>Bitte den Dateien den Namen s.u. geben</v>
      </c>
      <c r="C22" s="1434" t="s">
        <v>2183</v>
      </c>
      <c r="D22" s="1435"/>
      <c r="E22" s="1428" t="str">
        <f>$AB$7</f>
        <v>Experte ZK</v>
      </c>
      <c r="F22" s="1432" t="str">
        <f>$AB$10</f>
        <v>Nach der Visitation de IS</v>
      </c>
      <c r="G22" s="1436"/>
      <c r="H22" s="805"/>
      <c r="I22" s="805"/>
      <c r="J22" s="805"/>
      <c r="K22" s="805"/>
      <c r="L22" s="805"/>
      <c r="M22" s="805"/>
      <c r="N22" s="805"/>
      <c r="O22" s="805"/>
      <c r="P22" s="805"/>
      <c r="Q22" s="805"/>
      <c r="R22" s="805"/>
      <c r="S22" s="805"/>
      <c r="T22"/>
      <c r="W22" s="1988" t="s">
        <v>2188</v>
      </c>
      <c r="X22" s="1121" t="s">
        <v>2187</v>
      </c>
      <c r="Y22" s="364" t="str">
        <f t="shared" si="2"/>
        <v>Bitte den Dateien den Namen s.u. geben</v>
      </c>
      <c r="Z22" s="1120"/>
      <c r="AA22" s="1121"/>
      <c r="AB22" s="846"/>
    </row>
    <row r="23" spans="1:28" s="799" customFormat="1" ht="21.75" customHeight="1">
      <c r="A23" s="1428">
        <v>14</v>
      </c>
      <c r="B23" s="1430" t="str">
        <f>Y23</f>
        <v>Versendung der Dateien an Präsident ZK u. IMK</v>
      </c>
      <c r="C23" s="1434"/>
      <c r="D23" s="1435"/>
      <c r="E23" s="1428" t="str">
        <f>$AB$7</f>
        <v>Experte ZK</v>
      </c>
      <c r="F23" s="1432"/>
      <c r="G23" s="1436" t="str">
        <f>AB23</f>
        <v>1 Excel-Datei, 2 pdfs</v>
      </c>
      <c r="H23" s="805"/>
      <c r="I23" s="805"/>
      <c r="J23" s="805"/>
      <c r="K23" s="805"/>
      <c r="L23" s="805"/>
      <c r="M23" s="805"/>
      <c r="N23" s="805"/>
      <c r="O23" s="805"/>
      <c r="P23" s="805"/>
      <c r="Q23" s="805"/>
      <c r="R23" s="805"/>
      <c r="S23" s="805"/>
      <c r="T23"/>
      <c r="W23" s="1988" t="s">
        <v>1433</v>
      </c>
      <c r="X23" s="1121" t="s">
        <v>1434</v>
      </c>
      <c r="Y23" s="364" t="str">
        <f t="shared" si="2"/>
        <v>Versendung der Dateien an Präsident ZK u. IMK</v>
      </c>
      <c r="Z23" s="1120" t="s">
        <v>1436</v>
      </c>
      <c r="AA23" s="1121" t="s">
        <v>1435</v>
      </c>
      <c r="AB23" s="846" t="str">
        <f t="shared" si="4"/>
        <v>1 Excel-Datei, 2 pdfs</v>
      </c>
    </row>
    <row r="24" spans="1:28" s="799" customFormat="1" ht="21.75" customHeight="1">
      <c r="A24" s="1428">
        <v>15</v>
      </c>
      <c r="B24" s="1430" t="str">
        <f>Y24</f>
        <v>Präsentation des Dossiers an der ZK</v>
      </c>
      <c r="C24" s="1434"/>
      <c r="D24" s="1435"/>
      <c r="E24" s="1428" t="str">
        <f>$AB$7</f>
        <v>Experte ZK</v>
      </c>
      <c r="F24" s="1432" t="str">
        <f>AB24</f>
        <v>Nächste Sitzung</v>
      </c>
      <c r="G24" s="1436"/>
      <c r="H24" s="805"/>
      <c r="I24" s="805"/>
      <c r="J24" s="805"/>
      <c r="K24" s="805"/>
      <c r="L24" s="805"/>
      <c r="M24" s="805"/>
      <c r="N24" s="805"/>
      <c r="O24" s="805"/>
      <c r="P24" s="805"/>
      <c r="Q24" s="805"/>
      <c r="R24" s="805"/>
      <c r="S24" s="805"/>
      <c r="T24"/>
      <c r="W24" s="1988" t="s">
        <v>2189</v>
      </c>
      <c r="X24" s="1121" t="s">
        <v>2190</v>
      </c>
      <c r="Y24" s="364" t="str">
        <f t="shared" si="2"/>
        <v>Präsentation des Dossiers an der ZK</v>
      </c>
      <c r="Z24" s="1120" t="s">
        <v>2191</v>
      </c>
      <c r="AA24" s="1121" t="s">
        <v>2192</v>
      </c>
      <c r="AB24" s="846" t="str">
        <f t="shared" si="4"/>
        <v>Nächste Sitzung</v>
      </c>
    </row>
    <row r="25" spans="1:28">
      <c r="W25" s="420"/>
      <c r="X25" s="421"/>
      <c r="Y25" s="364"/>
      <c r="Z25" s="420"/>
      <c r="AA25" s="421"/>
      <c r="AB25" s="846"/>
    </row>
    <row r="26" spans="1:28">
      <c r="W26" s="420"/>
      <c r="X26" s="421"/>
      <c r="Y26" s="364"/>
      <c r="Z26" s="420"/>
      <c r="AA26" s="421"/>
      <c r="AB26" s="846"/>
    </row>
    <row r="27" spans="1:28" ht="39.75" customHeight="1">
      <c r="A27" s="2000"/>
      <c r="B27" s="2012" t="str">
        <f>Y27</f>
        <v xml:space="preserve">Dateien, die nach Abschluss der Visite der IMK zuzustellen sind </v>
      </c>
      <c r="C27" s="862"/>
      <c r="D27" s="1996"/>
      <c r="E27" s="1996"/>
      <c r="F27" s="2011" t="str">
        <f>Y28</f>
        <v>Dateiname</v>
      </c>
      <c r="G27" s="1997"/>
      <c r="H27" s="776"/>
      <c r="I27" s="776"/>
      <c r="J27" s="776"/>
      <c r="K27" s="776"/>
      <c r="L27" s="776"/>
      <c r="M27" s="776"/>
      <c r="N27" s="776"/>
      <c r="O27" s="776"/>
      <c r="P27" s="776"/>
      <c r="Q27" s="776"/>
      <c r="R27" s="776"/>
      <c r="S27" s="777"/>
      <c r="T27" s="777"/>
      <c r="W27" s="495" t="s">
        <v>2178</v>
      </c>
      <c r="X27" s="1990" t="s">
        <v>2179</v>
      </c>
      <c r="Y27" s="497" t="str">
        <f t="shared" ref="Y27:Y34" si="5">IF(W27=0,"",IF($A$1="D",W27,X27))</f>
        <v xml:space="preserve">Dateien, die nach Abschluss der Visite der IMK zuzustellen sind </v>
      </c>
      <c r="Z27" s="495" t="s">
        <v>961</v>
      </c>
      <c r="AA27" s="1990" t="s">
        <v>1002</v>
      </c>
      <c r="AB27" s="1991" t="str">
        <f t="shared" ref="AB27:AB34" si="6">IF(Z27=0,"",IF($A$1="D",Z27,AA27))</f>
        <v>Nr</v>
      </c>
    </row>
    <row r="28" spans="1:28" ht="17.25" customHeight="1">
      <c r="A28" s="2000"/>
      <c r="B28" s="2001"/>
      <c r="C28" s="1996"/>
      <c r="D28" s="1996"/>
      <c r="E28" s="1996"/>
      <c r="F28" s="2000"/>
      <c r="G28" s="2000"/>
      <c r="Q28" s="776"/>
      <c r="R28" s="776"/>
      <c r="S28" s="777"/>
      <c r="T28" s="777"/>
      <c r="W28" s="219" t="s">
        <v>2184</v>
      </c>
      <c r="X28" s="1992" t="s">
        <v>2185</v>
      </c>
      <c r="Y28" s="497" t="str">
        <f t="shared" si="5"/>
        <v>Dateiname</v>
      </c>
      <c r="Z28" s="318"/>
      <c r="AA28" s="1992"/>
      <c r="AB28" s="1991"/>
    </row>
    <row r="29" spans="1:28" s="780" customFormat="1" ht="64" customHeight="1">
      <c r="A29" s="2002" t="str">
        <f>AB27</f>
        <v>Nr</v>
      </c>
      <c r="B29" s="2003" t="str">
        <f>Y31</f>
        <v xml:space="preserve">Dokumente der Visitationsdelegation </v>
      </c>
      <c r="C29" s="2013" t="str">
        <f>Y29</f>
        <v>Datum Dokument 
(nur falls anders als Antragsdatum)</v>
      </c>
      <c r="D29" s="2015" t="str">
        <f>Y30</f>
        <v>Dokumente für Postsendung</v>
      </c>
      <c r="E29" s="2006" t="str">
        <f>AB30</f>
        <v>Format für elektronische Form</v>
      </c>
      <c r="F29" s="2014" t="str">
        <f>AB29</f>
        <v>Bitte der Datei den unten genrierten Namen geben (copy hier -paste direkt in Dateiname).
Bei Fehlern: Reiter 1 ANTRAG kontrollieren.</v>
      </c>
      <c r="G29" s="2004"/>
      <c r="Q29" s="778" t="s">
        <v>1004</v>
      </c>
      <c r="R29" s="778" t="s">
        <v>861</v>
      </c>
      <c r="S29" s="779" t="s">
        <v>1003</v>
      </c>
      <c r="T29" s="779" t="s">
        <v>1078</v>
      </c>
      <c r="W29" s="495" t="s">
        <v>1307</v>
      </c>
      <c r="X29" s="1993" t="s">
        <v>1306</v>
      </c>
      <c r="Y29" s="497" t="str">
        <f t="shared" si="5"/>
        <v>Datum Dokument 
(nur falls anders als Antragsdatum)</v>
      </c>
      <c r="Z29" s="495" t="s">
        <v>2543</v>
      </c>
      <c r="AA29" s="1990" t="s">
        <v>2186</v>
      </c>
      <c r="AB29" s="1991" t="str">
        <f t="shared" si="6"/>
        <v>Bitte der Datei den unten genrierten Namen geben (copy hier -paste direkt in Dateiname).
Bei Fehlern: Reiter 1 ANTRAG kontrollieren.</v>
      </c>
    </row>
    <row r="30" spans="1:28" s="780" customFormat="1" ht="15.75" customHeight="1">
      <c r="A30" s="2004"/>
      <c r="B30" s="2002"/>
      <c r="C30" s="2006"/>
      <c r="D30" s="2006"/>
      <c r="E30" s="2006"/>
      <c r="F30" s="2007"/>
      <c r="G30" s="2004"/>
      <c r="Q30" s="778"/>
      <c r="R30" s="778"/>
      <c r="S30" s="779"/>
      <c r="T30" s="779"/>
      <c r="W30" s="318" t="s">
        <v>1093</v>
      </c>
      <c r="X30" s="1992" t="s">
        <v>1295</v>
      </c>
      <c r="Y30" s="497" t="str">
        <f t="shared" si="5"/>
        <v>Dokumente für Postsendung</v>
      </c>
      <c r="Z30" s="1994" t="s">
        <v>1094</v>
      </c>
      <c r="AA30" s="1993" t="s">
        <v>1322</v>
      </c>
      <c r="AB30" s="1991" t="str">
        <f t="shared" si="6"/>
        <v>Format für elektronische Form</v>
      </c>
    </row>
    <row r="31" spans="1:28" ht="18" customHeight="1">
      <c r="A31" s="2000"/>
      <c r="B31" s="2000"/>
      <c r="C31" s="2006"/>
      <c r="D31" s="1996"/>
      <c r="E31" s="1996"/>
      <c r="F31" s="2000"/>
      <c r="G31" s="2000"/>
      <c r="Q31" s="776" t="s">
        <v>780</v>
      </c>
      <c r="R31" s="790" t="str">
        <f>'1 ANTRAG-DEMANDE'!B11&amp;"_"&amp;'1 ANTRAG-DEMANDE'!B14&amp;"_"&amp;'1 ANTRAG-DEMANDE'!B16</f>
        <v>__</v>
      </c>
      <c r="S31" s="777"/>
      <c r="T31" s="777"/>
      <c r="W31" s="495" t="s">
        <v>998</v>
      </c>
      <c r="X31" s="1990" t="s">
        <v>1318</v>
      </c>
      <c r="Y31" s="497" t="str">
        <f t="shared" si="5"/>
        <v xml:space="preserve">Dokumente der Visitationsdelegation </v>
      </c>
      <c r="Z31" s="495"/>
      <c r="AA31" s="1990"/>
      <c r="AB31" s="1991" t="str">
        <f t="shared" si="6"/>
        <v/>
      </c>
    </row>
    <row r="32" spans="1:28">
      <c r="A32" s="2005" t="s">
        <v>965</v>
      </c>
      <c r="B32" s="2000" t="str">
        <f>Y32</f>
        <v>Visitation  Excel</v>
      </c>
      <c r="C32" s="1999"/>
      <c r="D32" s="1996" t="s">
        <v>1095</v>
      </c>
      <c r="E32" s="1996" t="s">
        <v>960</v>
      </c>
      <c r="F32" s="2010" t="str">
        <f>$R$31&amp;"_"&amp;$Q$34&amp;"_"&amp;A32&amp;"_"&amp;R32&amp;"_"&amp;T32</f>
        <v>___000100_00_VISITATION_000100</v>
      </c>
      <c r="G32" s="2000"/>
      <c r="Q32" s="791">
        <f>'4b Visitation'!C10</f>
        <v>0</v>
      </c>
      <c r="R32" s="787" t="str">
        <f>AB32</f>
        <v>VISITATION</v>
      </c>
      <c r="S32" s="788">
        <f>IF(C32=0,$Q$32,C32)</f>
        <v>0</v>
      </c>
      <c r="T32" s="789" t="str">
        <f>RIGHT(YEAR(S32)&amp;IF(MONTH(S32)&lt;10,"0","")&amp;MONTH(S32)&amp;IF(DAY(S32)&lt;10,"0","")&amp;DAY(S32),6)</f>
        <v>000100</v>
      </c>
      <c r="W32" s="318" t="s">
        <v>999</v>
      </c>
      <c r="X32" s="1992" t="s">
        <v>1319</v>
      </c>
      <c r="Y32" s="497" t="str">
        <f t="shared" si="5"/>
        <v>Visitation  Excel</v>
      </c>
      <c r="Z32" s="318" t="s">
        <v>1017</v>
      </c>
      <c r="AA32" s="1992" t="s">
        <v>1016</v>
      </c>
      <c r="AB32" s="1991" t="str">
        <f t="shared" si="6"/>
        <v>VISITATION</v>
      </c>
    </row>
    <row r="33" spans="1:28">
      <c r="A33" s="2005" t="s">
        <v>958</v>
      </c>
      <c r="B33" s="2000" t="str">
        <f>Y33</f>
        <v>Visitation Kompletter Bericht</v>
      </c>
      <c r="C33" s="1999"/>
      <c r="D33" s="1996" t="s">
        <v>1095</v>
      </c>
      <c r="E33" s="1996" t="s">
        <v>966</v>
      </c>
      <c r="F33" s="2010" t="str">
        <f>$R$31&amp;"_"&amp;$Q$34&amp;"_"&amp;A33&amp;"_"&amp;R33&amp;"_"&amp;T33</f>
        <v>___000100_01_VisitationBerichtKomplett_000100</v>
      </c>
      <c r="G33" s="2000"/>
      <c r="Q33" s="792" t="str">
        <f>YEAR(Q32) &amp;IF(MONTH(Q32)&lt;10,"0","") &amp;MONTH(Q32) &amp;IF(DAY(Q32)&lt;10,"0","") &amp;DAY(Q32)</f>
        <v>19000100</v>
      </c>
      <c r="R33" s="787" t="str">
        <f>AB33</f>
        <v>VisitationBerichtKomplett</v>
      </c>
      <c r="S33" s="788">
        <f>IF(C33=0,$Q$32,C33)</f>
        <v>0</v>
      </c>
      <c r="T33" s="789" t="str">
        <f>RIGHT(YEAR(S33)&amp;IF(MONTH(S33)&lt;10,"0","")&amp;MONTH(S33)&amp;IF(DAY(S33)&lt;10,"0","")&amp;DAY(S33),6)</f>
        <v>000100</v>
      </c>
      <c r="W33" s="318" t="s">
        <v>1000</v>
      </c>
      <c r="X33" s="1992" t="s">
        <v>1320</v>
      </c>
      <c r="Y33" s="497" t="str">
        <f t="shared" si="5"/>
        <v>Visitation Kompletter Bericht</v>
      </c>
      <c r="Z33" s="318" t="s">
        <v>1006</v>
      </c>
      <c r="AA33" s="1992" t="s">
        <v>1018</v>
      </c>
      <c r="AB33" s="1991" t="str">
        <f t="shared" si="6"/>
        <v>VisitationBerichtKomplett</v>
      </c>
    </row>
    <row r="34" spans="1:28">
      <c r="A34" s="2005" t="s">
        <v>959</v>
      </c>
      <c r="B34" s="2000" t="str">
        <f>Y34</f>
        <v>Visitation Kurzer Bericht</v>
      </c>
      <c r="C34" s="1999"/>
      <c r="D34" s="1996" t="s">
        <v>1095</v>
      </c>
      <c r="E34" s="1996" t="s">
        <v>966</v>
      </c>
      <c r="F34" s="2010" t="str">
        <f>$R$31&amp;"_"&amp;$Q$34&amp;"_"&amp;A34&amp;"_"&amp;R34&amp;"_"&amp;T34</f>
        <v>___000100_02_VisitationBerichtKurz_000100</v>
      </c>
      <c r="G34" s="2000"/>
      <c r="Q34" s="792" t="str">
        <f>RIGHT(Q33,6)</f>
        <v>000100</v>
      </c>
      <c r="R34" s="787" t="str">
        <f>AB34</f>
        <v>VisitationBerichtKurz</v>
      </c>
      <c r="S34" s="788">
        <f>IF(C34=0,$Q$32,C34)</f>
        <v>0</v>
      </c>
      <c r="T34" s="789" t="str">
        <f>RIGHT(YEAR(S34)&amp;IF(MONTH(S34)&lt;10,"0","")&amp;MONTH(S34)&amp;IF(DAY(S34)&lt;10,"0","")&amp;DAY(S34),6)</f>
        <v>000100</v>
      </c>
      <c r="W34" s="1995" t="s">
        <v>1001</v>
      </c>
      <c r="X34" s="1992" t="s">
        <v>1321</v>
      </c>
      <c r="Y34" s="497" t="str">
        <f t="shared" si="5"/>
        <v>Visitation Kurzer Bericht</v>
      </c>
      <c r="Z34" s="1995" t="s">
        <v>1007</v>
      </c>
      <c r="AA34" s="1992" t="s">
        <v>1019</v>
      </c>
      <c r="AB34" s="1991" t="str">
        <f t="shared" si="6"/>
        <v>VisitationBerichtKurz</v>
      </c>
    </row>
    <row r="35" spans="1:28" ht="10" customHeight="1">
      <c r="A35" s="2000"/>
      <c r="B35" s="2000"/>
      <c r="C35" s="2000"/>
      <c r="D35" s="2009"/>
      <c r="E35" s="1996"/>
      <c r="F35" s="1996"/>
      <c r="G35" s="2000"/>
    </row>
    <row r="38" spans="1:28" ht="39.75" customHeight="1">
      <c r="A38" s="1945"/>
      <c r="B38" s="2137" t="str">
        <f>Y38</f>
        <v>Mail für die Zusendung des Plans - Text kann kopiert und dann z.B. in Outlook adaptiert werden</v>
      </c>
      <c r="C38" s="2125"/>
      <c r="D38" s="2087"/>
      <c r="E38" s="2087"/>
      <c r="F38" s="2126"/>
      <c r="G38" s="2127"/>
      <c r="H38" s="776"/>
      <c r="I38" s="776"/>
      <c r="J38" s="776"/>
      <c r="K38" s="776"/>
      <c r="L38" s="776"/>
      <c r="M38" s="776"/>
      <c r="N38" s="776"/>
      <c r="O38" s="776"/>
      <c r="P38" s="776"/>
      <c r="Q38" s="2134">
        <f>'4b Visitation'!C11</f>
        <v>0</v>
      </c>
      <c r="R38" s="2128" t="str">
        <f>IF(DAY(Q32)&lt;10,"0","") &amp;DAY(Q32) &amp;"." &amp;IF(MONTH(Q32)&lt;10,"0","") &amp;MONTH(Q32) &amp;"." &amp;YEAR(Q32)</f>
        <v>00.01.1900</v>
      </c>
      <c r="S38" s="2128" t="str">
        <f>IF(HOUR(Q38)&lt;10,"0","") &amp;HOUR(Q38) &amp;":" &amp;IF(MINUTE(Q38)&lt;10,"0","") &amp;MINUTE(Q38)</f>
        <v>00:00</v>
      </c>
      <c r="T38" s="2130">
        <f>'1 ANTRAG-DEMANDE'!B11</f>
        <v>0</v>
      </c>
      <c r="W38" s="495" t="s">
        <v>2516</v>
      </c>
      <c r="X38" s="1990" t="s">
        <v>2517</v>
      </c>
      <c r="Y38" s="497" t="str">
        <f t="shared" ref="Y38:Y39" si="7">IF(W38=0,"",IF($A$1="D",W38,X38))</f>
        <v>Mail für die Zusendung des Plans - Text kann kopiert und dann z.B. in Outlook adaptiert werden</v>
      </c>
      <c r="Z38" s="495"/>
      <c r="AA38" s="1990"/>
      <c r="AB38" s="1991" t="str">
        <f t="shared" ref="AB38:AB39" si="8">IF(Z38=0,"",IF($A$1="D",Z38,AA38))</f>
        <v/>
      </c>
    </row>
    <row r="39" spans="1:28" s="799" customFormat="1" ht="33.75" customHeight="1">
      <c r="A39" s="2132" t="s">
        <v>2499</v>
      </c>
      <c r="B39" s="2203" t="str">
        <f>Q39&amp;R38&amp;" "&amp;S38&amp;" - "&amp;R39&amp;", "&amp;S39&amp;" "&amp;T39&amp;", " &amp;T38</f>
        <v>Zertifizierung - Visitation - 00.01.1900 00:00 - 0, 0 0, 0</v>
      </c>
      <c r="C39" s="2203"/>
      <c r="D39" s="2203"/>
      <c r="E39" s="2203"/>
      <c r="F39" s="2203"/>
      <c r="G39" s="2156" t="str">
        <f>AB39</f>
        <v>Daten werden übernommen : zuerst  Datum/Zeit Visitation im Reiter 4bVisitation eingeben.</v>
      </c>
      <c r="Q39" s="2130" t="str">
        <f>Y39</f>
        <v xml:space="preserve">Zertifizierung - Visitation - </v>
      </c>
      <c r="R39" s="2130">
        <f>'1 ANTRAG-DEMANDE'!B16</f>
        <v>0</v>
      </c>
      <c r="S39" s="2130">
        <f>'1 ANTRAG-DEMANDE'!B14</f>
        <v>0</v>
      </c>
      <c r="T39" s="2130">
        <f>'1 ANTRAG-DEMANDE'!B12</f>
        <v>0</v>
      </c>
      <c r="W39" s="839" t="s">
        <v>2594</v>
      </c>
      <c r="X39" s="840" t="s">
        <v>2500</v>
      </c>
      <c r="Y39" s="841" t="str">
        <f t="shared" si="7"/>
        <v xml:space="preserve">Zertifizierung - Visitation - </v>
      </c>
      <c r="Z39" s="839" t="s">
        <v>2540</v>
      </c>
      <c r="AA39" s="840" t="s">
        <v>2541</v>
      </c>
      <c r="AB39" s="2129" t="str">
        <f t="shared" si="8"/>
        <v>Daten werden übernommen : zuerst  Datum/Zeit Visitation im Reiter 4bVisitation eingeben.</v>
      </c>
    </row>
    <row r="40" spans="1:28">
      <c r="A40" s="1945"/>
      <c r="B40" s="1945"/>
      <c r="C40" s="1945"/>
      <c r="D40" s="1946"/>
      <c r="E40" s="2087"/>
      <c r="F40" s="2087"/>
      <c r="G40" s="1945"/>
    </row>
    <row r="41" spans="1:28" ht="258" customHeight="1">
      <c r="A41" s="1947" t="s">
        <v>1184</v>
      </c>
      <c r="B41" s="2202" t="str">
        <f>Y41</f>
        <v>Liebe Kolleginnen und Kollegen,
der Besuch zur Zertifizierung Ihrer Intensivstation ist wie mit Ihnen vereinbart geplant. Anbei das Programm mit dem Ablauf der Visitation.
Wir bitten Sie, einen ausreichend großen Raum für die gesamte Dauer des Besuchs zu reservieren und Ihre Geschäftsleitung für die sie betreffenden Teile zu informieren.
Um uns die Arbeit zu erleichtern, wäre es nett, wenn Sie uns noch eine Liste aller Teilnehmer (Vorname - Nachname - Funktion) zusenden könnten (per E-Mail, wenn möglich vor dem Besuch).
Ihre Unterlagen enthalten alle wichtigen Elemente, die während des Besuchs besprochen werden. Wenn zusätzliche Elemente erforderlich sind, werden wir Sie darüber informieren.
Für weitere Informationen stehe ich Ihnen gerne zur Verfügung. Mit freundlichen Grüßen,
Unterschrift</v>
      </c>
      <c r="C41" s="2202"/>
      <c r="D41" s="2202"/>
      <c r="E41" s="2202"/>
      <c r="F41" s="2202"/>
      <c r="G41" s="2131"/>
      <c r="W41" s="839" t="s">
        <v>2588</v>
      </c>
      <c r="X41" s="840" t="s">
        <v>2589</v>
      </c>
      <c r="Y41" s="841" t="str">
        <f t="shared" ref="Y41" si="9">IF(W41=0,"",IF($A$1="D",W41,X41))</f>
        <v>Liebe Kolleginnen und Kollegen,
der Besuch zur Zertifizierung Ihrer Intensivstation ist wie mit Ihnen vereinbart geplant. Anbei das Programm mit dem Ablauf der Visitation.
Wir bitten Sie, einen ausreichend großen Raum für die gesamte Dauer des Besuchs zu reservieren und Ihre Geschäftsleitung für die sie betreffenden Teile zu informieren.
Um uns die Arbeit zu erleichtern, wäre es nett, wenn Sie uns noch eine Liste aller Teilnehmer (Vorname - Nachname - Funktion) zusenden könnten (per E-Mail, wenn möglich vor dem Besuch).
Ihre Unterlagen enthalten alle wichtigen Elemente, die während des Besuchs besprochen werden. Wenn zusätzliche Elemente erforderlich sind, werden wir Sie darüber informieren.
Für weitere Informationen stehe ich Ihnen gerne zur Verfügung. Mit freundlichen Grüßen,
Unterschrift</v>
      </c>
      <c r="Z41" s="839" t="s">
        <v>2502</v>
      </c>
      <c r="AA41" s="840" t="s">
        <v>2502</v>
      </c>
      <c r="AB41" s="2129" t="str">
        <f t="shared" ref="AB41" si="10">IF(Z41=0,"",IF($A$1="D",Z41,AA41))</f>
        <v>$$$</v>
      </c>
    </row>
    <row r="42" spans="1:28">
      <c r="A42" s="1945"/>
      <c r="B42" s="1945"/>
      <c r="C42" s="1945"/>
      <c r="D42" s="1946"/>
      <c r="E42" s="2087"/>
      <c r="F42" s="2087"/>
      <c r="G42" s="1945"/>
      <c r="W42" s="839" t="s">
        <v>2501</v>
      </c>
      <c r="X42" s="840" t="s">
        <v>2502</v>
      </c>
      <c r="Y42" s="841" t="str">
        <f t="shared" ref="Y42" si="11">IF(W42=0,"",IF($A$1="D",W42,X42))</f>
        <v>$$$$</v>
      </c>
      <c r="Z42" s="839" t="s">
        <v>2502</v>
      </c>
      <c r="AA42" s="840" t="s">
        <v>2502</v>
      </c>
      <c r="AB42" s="2129" t="str">
        <f t="shared" ref="AB42" si="12">IF(Z42=0,"",IF($A$1="D",Z42,AA42))</f>
        <v>$$$</v>
      </c>
    </row>
  </sheetData>
  <sheetProtection algorithmName="SHA-512" hashValue="vSLqTy53j6HqzejRBmqf+AwHKDOpbDqThffaBTs1TasphPimDk5i4/7ai/g2ICsTuc66zxxtS3PNnhNiLCF9yQ==" saltValue="gbDuUUkHVJ5jHjciF66W0g==" spinCount="100000" sheet="1" objects="1" scenarios="1"/>
  <mergeCells count="4">
    <mergeCell ref="B5:C5"/>
    <mergeCell ref="U1:U2"/>
    <mergeCell ref="B41:F41"/>
    <mergeCell ref="B39:F39"/>
  </mergeCells>
  <conditionalFormatting sqref="A1:A2">
    <cfRule type="containsText" dxfId="39" priority="1" operator="containsText" text="F">
      <formula>NOT(ISERROR(SEARCH("F",A1)))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Liste!$F$2:$F$3</xm:f>
          </x14:formula1>
          <xm:sqref>A1:A2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4"/>
  <sheetViews>
    <sheetView zoomScale="156" workbookViewId="0">
      <selection activeCell="A29" sqref="A29"/>
    </sheetView>
  </sheetViews>
  <sheetFormatPr baseColWidth="10" defaultRowHeight="16"/>
  <cols>
    <col min="1" max="1" width="9.6640625" customWidth="1"/>
    <col min="2" max="2" width="56.33203125" customWidth="1"/>
    <col min="3" max="3" width="14" style="2193" customWidth="1"/>
    <col min="4" max="4" width="7.6640625" style="510" customWidth="1"/>
    <col min="5" max="5" width="46.6640625" customWidth="1"/>
  </cols>
  <sheetData>
    <row r="1" spans="1:19" ht="18">
      <c r="A1" s="1944"/>
      <c r="B1" s="1112"/>
      <c r="C1" s="2186"/>
      <c r="D1" s="1119"/>
    </row>
    <row r="2" spans="1:19" ht="43" customHeight="1">
      <c r="A2" s="872"/>
      <c r="B2" s="2196" t="s">
        <v>2571</v>
      </c>
      <c r="C2" s="2197" t="s">
        <v>2542</v>
      </c>
      <c r="D2" s="2198"/>
      <c r="E2" s="2199" t="s">
        <v>1373</v>
      </c>
    </row>
    <row r="3" spans="1:19" s="799" customFormat="1" ht="22" customHeight="1">
      <c r="A3" s="2185"/>
      <c r="C3" s="2187"/>
      <c r="F3" s="805"/>
      <c r="G3" s="805"/>
      <c r="H3" s="805"/>
      <c r="I3" s="805"/>
      <c r="J3" s="805"/>
      <c r="K3" s="805"/>
      <c r="L3" s="805"/>
      <c r="M3" s="805"/>
      <c r="N3" s="805"/>
      <c r="O3" s="805"/>
      <c r="P3" s="805"/>
      <c r="Q3" s="805"/>
      <c r="R3"/>
      <c r="S3"/>
    </row>
    <row r="4" spans="1:19" s="799" customFormat="1" ht="36.75" customHeight="1">
      <c r="A4" s="2174"/>
      <c r="B4" s="2195" t="s">
        <v>2581</v>
      </c>
      <c r="C4" s="2195"/>
      <c r="D4" s="2175"/>
      <c r="E4" s="2177"/>
      <c r="F4" s="805"/>
      <c r="G4" s="805"/>
      <c r="H4" s="805"/>
      <c r="I4" s="805"/>
      <c r="J4" s="805"/>
      <c r="K4" s="805"/>
      <c r="L4" s="805"/>
      <c r="M4" s="805"/>
      <c r="N4" s="805"/>
      <c r="O4" s="805"/>
      <c r="P4" s="805"/>
      <c r="Q4" s="805"/>
      <c r="R4"/>
      <c r="S4"/>
    </row>
    <row r="5" spans="1:19" s="799" customFormat="1" ht="46.5" customHeight="1">
      <c r="A5" s="2178" t="s">
        <v>1365</v>
      </c>
      <c r="B5" s="2179" t="s">
        <v>2569</v>
      </c>
      <c r="C5" s="2188" t="s">
        <v>2570</v>
      </c>
      <c r="D5" s="2180"/>
      <c r="E5" s="2181"/>
      <c r="F5" s="805"/>
      <c r="G5" s="805"/>
      <c r="H5" s="805"/>
      <c r="I5" s="805"/>
      <c r="J5" s="805"/>
      <c r="K5" s="805"/>
      <c r="L5" s="805"/>
      <c r="M5" s="805"/>
      <c r="N5" s="805"/>
      <c r="O5" s="805"/>
      <c r="P5" s="805"/>
      <c r="Q5" s="805"/>
      <c r="R5"/>
    </row>
    <row r="6" spans="1:19" s="799" customFormat="1" ht="46.5" customHeight="1">
      <c r="A6" s="2178" t="s">
        <v>1087</v>
      </c>
      <c r="B6" s="2179" t="s">
        <v>2557</v>
      </c>
      <c r="C6" s="2188" t="s">
        <v>1191</v>
      </c>
      <c r="D6" s="2180"/>
      <c r="E6" s="2181" t="s">
        <v>2572</v>
      </c>
      <c r="F6" s="805"/>
      <c r="G6" s="805"/>
      <c r="H6" s="805"/>
      <c r="I6" s="805"/>
      <c r="J6" s="805"/>
      <c r="K6" s="805"/>
      <c r="L6" s="805"/>
      <c r="M6" s="805"/>
      <c r="N6" s="805"/>
      <c r="O6" s="805"/>
      <c r="P6" s="805"/>
      <c r="Q6" s="805"/>
      <c r="R6"/>
    </row>
    <row r="7" spans="1:19" s="799" customFormat="1" ht="46.5" customHeight="1">
      <c r="A7" s="2178" t="s">
        <v>1088</v>
      </c>
      <c r="B7" s="2179" t="s">
        <v>2558</v>
      </c>
      <c r="C7" s="2188" t="s">
        <v>1082</v>
      </c>
      <c r="D7" s="2180"/>
      <c r="E7" s="2181" t="s">
        <v>2584</v>
      </c>
      <c r="F7" s="805"/>
      <c r="G7" s="805"/>
      <c r="H7" s="805"/>
      <c r="I7" s="805"/>
      <c r="J7" s="805"/>
      <c r="K7" s="805"/>
      <c r="L7" s="805"/>
      <c r="M7" s="805"/>
      <c r="N7" s="805"/>
      <c r="O7" s="805"/>
      <c r="P7" s="805"/>
      <c r="Q7" s="805"/>
      <c r="R7"/>
    </row>
    <row r="8" spans="1:19" s="799" customFormat="1" ht="30" customHeight="1">
      <c r="A8" s="2178" t="s">
        <v>1089</v>
      </c>
      <c r="B8" s="2179" t="s">
        <v>2554</v>
      </c>
      <c r="C8" s="2188" t="s">
        <v>2560</v>
      </c>
      <c r="D8" s="2180"/>
      <c r="E8" s="2181"/>
      <c r="F8" s="805"/>
      <c r="G8" s="805"/>
      <c r="H8" s="805"/>
      <c r="I8" s="805"/>
      <c r="J8" s="805"/>
      <c r="K8" s="805"/>
      <c r="L8" s="805"/>
      <c r="M8" s="805"/>
      <c r="N8" s="805"/>
      <c r="O8" s="805"/>
      <c r="P8" s="805"/>
      <c r="Q8" s="805"/>
      <c r="R8"/>
    </row>
    <row r="9" spans="1:19" s="799" customFormat="1" ht="30" customHeight="1">
      <c r="A9" s="2178" t="s">
        <v>1090</v>
      </c>
      <c r="B9" s="2179" t="s">
        <v>2562</v>
      </c>
      <c r="C9" s="2188" t="s">
        <v>2561</v>
      </c>
      <c r="D9" s="2180"/>
      <c r="E9" s="2181" t="s">
        <v>2582</v>
      </c>
      <c r="F9" s="805"/>
      <c r="G9" s="805"/>
      <c r="H9" s="805"/>
      <c r="I9" s="805"/>
      <c r="J9" s="805"/>
      <c r="K9" s="805"/>
      <c r="L9" s="805"/>
      <c r="M9" s="805"/>
      <c r="N9" s="805"/>
      <c r="O9" s="805"/>
      <c r="P9" s="805"/>
      <c r="Q9" s="805"/>
      <c r="R9"/>
    </row>
    <row r="10" spans="1:19" s="799" customFormat="1" ht="37" customHeight="1">
      <c r="A10" s="2178" t="s">
        <v>1698</v>
      </c>
      <c r="B10" s="2179" t="s">
        <v>2559</v>
      </c>
      <c r="C10" s="2188" t="s">
        <v>2566</v>
      </c>
      <c r="D10" s="2180"/>
      <c r="E10" s="2181" t="s">
        <v>2567</v>
      </c>
      <c r="F10" s="805"/>
      <c r="G10" s="805"/>
      <c r="H10" s="805"/>
      <c r="I10" s="805"/>
      <c r="J10" s="805"/>
      <c r="K10" s="805"/>
      <c r="L10" s="805"/>
      <c r="M10" s="805"/>
      <c r="N10" s="805"/>
      <c r="O10" s="805"/>
      <c r="P10" s="805"/>
      <c r="Q10" s="805"/>
      <c r="R10"/>
    </row>
    <row r="11" spans="1:19" s="799" customFormat="1" ht="44.25" customHeight="1">
      <c r="A11" s="2178" t="s">
        <v>2565</v>
      </c>
      <c r="B11" s="2179" t="s">
        <v>2563</v>
      </c>
      <c r="C11" s="2188"/>
      <c r="D11" s="2180"/>
      <c r="E11" s="2181" t="s">
        <v>2564</v>
      </c>
      <c r="F11" s="805"/>
      <c r="G11" s="805"/>
      <c r="H11" s="805"/>
      <c r="I11" s="805"/>
      <c r="J11" s="805"/>
      <c r="K11" s="805"/>
      <c r="L11" s="805"/>
      <c r="M11" s="805"/>
      <c r="N11" s="805"/>
      <c r="O11" s="805"/>
      <c r="P11" s="805"/>
      <c r="Q11" s="805"/>
      <c r="R11"/>
    </row>
    <row r="12" spans="1:19" ht="34">
      <c r="A12" s="2178" t="s">
        <v>2568</v>
      </c>
      <c r="B12" s="2179" t="s">
        <v>2555</v>
      </c>
      <c r="C12" s="2188" t="s">
        <v>2181</v>
      </c>
      <c r="D12" s="2180"/>
      <c r="E12" s="2181" t="s">
        <v>2556</v>
      </c>
    </row>
    <row r="13" spans="1:19">
      <c r="A13" s="2176"/>
      <c r="B13" s="2179"/>
      <c r="C13" s="2189"/>
      <c r="D13" s="2180"/>
      <c r="E13" s="2181"/>
    </row>
    <row r="14" spans="1:19">
      <c r="A14" s="2182"/>
      <c r="B14" s="780"/>
      <c r="C14" s="2190"/>
      <c r="D14" s="2183"/>
      <c r="E14" s="831"/>
    </row>
    <row r="15" spans="1:19">
      <c r="A15" s="2182"/>
      <c r="B15" s="780"/>
      <c r="C15" s="2190"/>
      <c r="D15" s="2183"/>
      <c r="E15" s="831"/>
    </row>
    <row r="16" spans="1:19" s="799" customFormat="1" ht="36.75" customHeight="1">
      <c r="A16" s="2168"/>
      <c r="B16" s="2194" t="s">
        <v>2576</v>
      </c>
      <c r="C16" s="2194"/>
      <c r="D16" s="2169"/>
      <c r="E16" s="784"/>
      <c r="F16" s="805"/>
      <c r="G16" s="805"/>
      <c r="H16" s="805"/>
      <c r="I16" s="805"/>
      <c r="J16" s="805"/>
      <c r="K16" s="805"/>
      <c r="L16" s="805"/>
      <c r="M16" s="805"/>
      <c r="N16" s="805"/>
      <c r="O16" s="805"/>
      <c r="P16" s="805"/>
      <c r="Q16" s="805"/>
      <c r="R16"/>
      <c r="S16"/>
    </row>
    <row r="17" spans="1:18" s="799" customFormat="1" ht="46.5" customHeight="1">
      <c r="A17" s="2170" t="s">
        <v>1365</v>
      </c>
      <c r="B17" s="2171" t="s">
        <v>2575</v>
      </c>
      <c r="C17" s="2191">
        <v>1</v>
      </c>
      <c r="D17" s="2172"/>
      <c r="E17" s="2173" t="s">
        <v>2574</v>
      </c>
      <c r="F17" s="805"/>
      <c r="G17" s="805"/>
      <c r="H17" s="805"/>
      <c r="I17" s="805"/>
      <c r="J17" s="805"/>
      <c r="K17" s="805"/>
      <c r="L17" s="805"/>
      <c r="M17" s="805"/>
      <c r="N17" s="805"/>
      <c r="O17" s="805"/>
      <c r="P17" s="805"/>
      <c r="Q17" s="805"/>
      <c r="R17"/>
    </row>
    <row r="18" spans="1:18" s="799" customFormat="1" ht="46.5" customHeight="1">
      <c r="A18" s="2170" t="s">
        <v>1087</v>
      </c>
      <c r="B18" s="2171" t="s">
        <v>2573</v>
      </c>
      <c r="C18" s="2191">
        <v>2</v>
      </c>
      <c r="D18" s="2172"/>
      <c r="E18" s="2173"/>
      <c r="F18" s="805"/>
      <c r="G18" s="805"/>
      <c r="H18" s="805"/>
      <c r="I18" s="805"/>
      <c r="J18" s="805"/>
      <c r="K18" s="805"/>
      <c r="L18" s="805"/>
      <c r="M18" s="805"/>
      <c r="N18" s="805"/>
      <c r="O18" s="805"/>
      <c r="P18" s="805"/>
      <c r="Q18" s="805"/>
      <c r="R18"/>
    </row>
    <row r="19" spans="1:18" s="799" customFormat="1" ht="46.5" customHeight="1">
      <c r="A19" s="2170" t="s">
        <v>1088</v>
      </c>
      <c r="B19" s="2171" t="s">
        <v>2577</v>
      </c>
      <c r="C19" s="2192"/>
      <c r="D19" s="2172"/>
      <c r="E19" s="2173"/>
      <c r="F19" s="805"/>
      <c r="G19" s="805"/>
      <c r="H19" s="805"/>
      <c r="I19" s="805"/>
      <c r="J19" s="805"/>
      <c r="K19" s="805"/>
      <c r="L19" s="805"/>
      <c r="M19" s="805"/>
      <c r="N19" s="805"/>
      <c r="O19" s="805"/>
      <c r="P19" s="805"/>
      <c r="Q19" s="805"/>
      <c r="R19"/>
    </row>
    <row r="20" spans="1:18" s="799" customFormat="1" ht="30" customHeight="1">
      <c r="A20" s="2170" t="s">
        <v>1089</v>
      </c>
      <c r="B20" s="2171" t="s">
        <v>2580</v>
      </c>
      <c r="C20" s="2192" t="s">
        <v>2578</v>
      </c>
      <c r="D20" s="2172"/>
      <c r="E20" s="2173" t="s">
        <v>2585</v>
      </c>
      <c r="F20" s="805"/>
      <c r="G20" s="805"/>
      <c r="H20" s="805"/>
      <c r="I20" s="805"/>
      <c r="J20" s="805"/>
      <c r="K20" s="805"/>
      <c r="L20" s="805"/>
      <c r="M20" s="805"/>
      <c r="N20" s="805"/>
      <c r="O20" s="805"/>
      <c r="P20" s="805"/>
      <c r="Q20" s="805"/>
      <c r="R20"/>
    </row>
    <row r="21" spans="1:18" s="799" customFormat="1" ht="30" customHeight="1">
      <c r="A21" s="2170" t="s">
        <v>1090</v>
      </c>
      <c r="B21" s="2171" t="s">
        <v>2579</v>
      </c>
      <c r="C21" s="2192"/>
      <c r="D21" s="2172"/>
      <c r="E21" s="2173"/>
      <c r="F21" s="805"/>
      <c r="G21" s="805"/>
      <c r="H21" s="805"/>
      <c r="I21" s="805"/>
      <c r="J21" s="805"/>
      <c r="K21" s="805"/>
      <c r="L21" s="805"/>
      <c r="M21" s="805"/>
      <c r="N21" s="805"/>
      <c r="O21" s="805"/>
      <c r="P21" s="805"/>
      <c r="Q21" s="805"/>
      <c r="R21"/>
    </row>
    <row r="22" spans="1:18" s="799" customFormat="1" ht="37" customHeight="1">
      <c r="A22" s="2170" t="s">
        <v>1698</v>
      </c>
      <c r="B22" s="2171" t="s">
        <v>2562</v>
      </c>
      <c r="C22" s="2192" t="s">
        <v>2561</v>
      </c>
      <c r="D22" s="2172"/>
      <c r="E22" s="2173" t="s">
        <v>2582</v>
      </c>
      <c r="F22" s="805"/>
      <c r="G22" s="805"/>
      <c r="H22" s="805"/>
      <c r="I22" s="805"/>
      <c r="J22" s="805"/>
      <c r="K22" s="805"/>
      <c r="L22" s="805"/>
      <c r="M22" s="805"/>
      <c r="N22" s="805"/>
      <c r="O22" s="805"/>
      <c r="P22" s="805"/>
      <c r="Q22" s="805"/>
      <c r="R22"/>
    </row>
    <row r="23" spans="1:18">
      <c r="A23" s="2170"/>
      <c r="B23" s="2171"/>
      <c r="C23" s="2192"/>
      <c r="D23" s="2172"/>
      <c r="E23" s="2173"/>
    </row>
    <row r="24" spans="1:18">
      <c r="A24" s="2182"/>
      <c r="B24" s="2184"/>
      <c r="C24" s="2190"/>
      <c r="D24" s="2183"/>
      <c r="E24" s="831"/>
    </row>
  </sheetData>
  <conditionalFormatting sqref="A1">
    <cfRule type="containsText" dxfId="0" priority="1" operator="containsText" text="F">
      <formula>NOT(ISERROR(SEARCH("F",A1)))</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9">
    <pageSetUpPr fitToPage="1"/>
  </sheetPr>
  <dimension ref="A1:L126"/>
  <sheetViews>
    <sheetView zoomScale="143" zoomScaleNormal="100" workbookViewId="0">
      <pane xSplit="4" ySplit="1" topLeftCell="E107" activePane="bottomRight" state="frozen"/>
      <selection pane="topRight"/>
      <selection pane="bottomLeft"/>
      <selection pane="bottomRight" activeCell="H157" sqref="H157"/>
    </sheetView>
  </sheetViews>
  <sheetFormatPr baseColWidth="10" defaultColWidth="11" defaultRowHeight="16"/>
  <cols>
    <col min="1" max="1" width="14.83203125" style="1954" customWidth="1"/>
    <col min="2" max="2" width="5" style="1955" customWidth="1"/>
    <col min="3" max="3" width="6.33203125" style="1956" customWidth="1"/>
    <col min="4" max="4" width="11.6640625" style="1957" customWidth="1"/>
    <col min="5" max="5" width="8.1640625" style="510" customWidth="1"/>
    <col min="6" max="6" width="14.5" style="510" customWidth="1"/>
    <col min="7" max="7" width="21.6640625" style="780" customWidth="1"/>
    <col min="8" max="8" width="83" style="780" customWidth="1"/>
    <col min="9" max="12" width="44.5" style="883" customWidth="1"/>
  </cols>
  <sheetData>
    <row r="1" spans="1:12" s="1679" customFormat="1" ht="53.25" customHeight="1">
      <c r="A1" s="1950" t="s">
        <v>1185</v>
      </c>
      <c r="B1" s="1951" t="s">
        <v>2039</v>
      </c>
      <c r="C1" s="1952" t="s">
        <v>1187</v>
      </c>
      <c r="D1" s="1953" t="s">
        <v>443</v>
      </c>
      <c r="E1" s="1679" t="s">
        <v>1189</v>
      </c>
      <c r="F1" s="1679" t="s">
        <v>1190</v>
      </c>
      <c r="G1" s="834" t="s">
        <v>1195</v>
      </c>
      <c r="H1" s="834" t="s">
        <v>11</v>
      </c>
      <c r="I1" s="1968" t="s">
        <v>2085</v>
      </c>
      <c r="J1" s="1968" t="s">
        <v>2086</v>
      </c>
      <c r="K1" s="1968" t="s">
        <v>2104</v>
      </c>
      <c r="L1" s="1968" t="s">
        <v>2105</v>
      </c>
    </row>
    <row r="2" spans="1:12" ht="17">
      <c r="A2" s="1954">
        <v>42551</v>
      </c>
      <c r="B2" s="1955" t="s">
        <v>2040</v>
      </c>
      <c r="D2" s="1957" t="str">
        <f>"V"&amp;RIGHT(YEAR(A2)&amp;IF(MONTH(A2)&lt;10,"0","")&amp;MONTH(A2)&amp;IF(DAY(A2)&lt;10,"0","")&amp;DAY(A2),6)&amp;C2</f>
        <v>V160630</v>
      </c>
      <c r="E2" s="510" t="s">
        <v>1191</v>
      </c>
      <c r="F2" s="510" t="s">
        <v>1192</v>
      </c>
      <c r="G2" s="780" t="s">
        <v>1196</v>
      </c>
      <c r="H2" s="780" t="s">
        <v>1197</v>
      </c>
    </row>
    <row r="3" spans="1:12" ht="17">
      <c r="A3" s="1954">
        <v>42552</v>
      </c>
      <c r="B3" s="1955" t="s">
        <v>2040</v>
      </c>
      <c r="C3" s="1956" t="s">
        <v>1188</v>
      </c>
      <c r="D3" s="1957" t="str">
        <f t="shared" ref="D3:D15" si="0">"V"&amp;RIGHT(YEAR(A3)&amp;IF(MONTH(A3)&lt;10,"0","")&amp;MONTH(A3)&amp;IF(DAY(A3)&lt;10,"0","")&amp;DAY(A3),6)&amp;C3</f>
        <v>V160701a</v>
      </c>
      <c r="E3" s="510" t="s">
        <v>1191</v>
      </c>
      <c r="F3" s="510" t="s">
        <v>1193</v>
      </c>
      <c r="G3" s="780" t="s">
        <v>1198</v>
      </c>
      <c r="H3" s="780" t="s">
        <v>1194</v>
      </c>
    </row>
    <row r="4" spans="1:12" ht="17">
      <c r="A4" s="1954">
        <v>42605</v>
      </c>
      <c r="B4" s="1955" t="s">
        <v>2040</v>
      </c>
      <c r="D4" s="1957" t="str">
        <f t="shared" si="0"/>
        <v>V160823</v>
      </c>
      <c r="E4" s="510" t="s">
        <v>1191</v>
      </c>
      <c r="H4" s="780" t="s">
        <v>1200</v>
      </c>
    </row>
    <row r="5" spans="1:12" ht="17">
      <c r="A5" s="1954">
        <v>42606</v>
      </c>
      <c r="B5" s="1955" t="s">
        <v>2040</v>
      </c>
      <c r="D5" s="1957" t="str">
        <f t="shared" si="0"/>
        <v>V160824</v>
      </c>
      <c r="H5" s="780" t="s">
        <v>1201</v>
      </c>
    </row>
    <row r="6" spans="1:12" ht="34">
      <c r="A6" s="1954">
        <v>42640</v>
      </c>
      <c r="B6" s="1955" t="s">
        <v>2040</v>
      </c>
      <c r="D6" s="1957" t="str">
        <f t="shared" si="0"/>
        <v>V160927</v>
      </c>
      <c r="E6" s="510" t="s">
        <v>1338</v>
      </c>
      <c r="H6" s="780" t="s">
        <v>1339</v>
      </c>
    </row>
    <row r="7" spans="1:12" ht="17">
      <c r="A7" s="1954">
        <v>42750</v>
      </c>
      <c r="B7" s="1955" t="s">
        <v>2040</v>
      </c>
      <c r="D7" s="1957" t="str">
        <f t="shared" si="0"/>
        <v>V170115</v>
      </c>
      <c r="E7" s="510" t="s">
        <v>1191</v>
      </c>
      <c r="F7" s="510" t="s">
        <v>1462</v>
      </c>
      <c r="G7" s="780" t="s">
        <v>1463</v>
      </c>
      <c r="H7" s="780" t="s">
        <v>1464</v>
      </c>
    </row>
    <row r="8" spans="1:12" ht="17">
      <c r="A8" s="1954">
        <v>42758</v>
      </c>
      <c r="B8" s="1955" t="s">
        <v>2040</v>
      </c>
      <c r="D8" s="1957" t="str">
        <f t="shared" ref="D8" si="1">"V"&amp;RIGHT(YEAR(A8)&amp;IF(MONTH(A8)&lt;10,"0","")&amp;MONTH(A8)&amp;IF(DAY(A8)&lt;10,"0","")&amp;DAY(A8),6)&amp;C8</f>
        <v>V170123</v>
      </c>
      <c r="E8" s="510" t="s">
        <v>1191</v>
      </c>
      <c r="F8" s="510" t="s">
        <v>1465</v>
      </c>
      <c r="G8" s="780" t="s">
        <v>1466</v>
      </c>
      <c r="H8" s="780" t="s">
        <v>1467</v>
      </c>
    </row>
    <row r="9" spans="1:12" ht="17">
      <c r="A9" s="1954">
        <v>42758</v>
      </c>
      <c r="B9" s="1955" t="s">
        <v>2040</v>
      </c>
      <c r="D9" s="1957" t="str">
        <f t="shared" si="0"/>
        <v>V170123</v>
      </c>
      <c r="E9" s="510" t="s">
        <v>1191</v>
      </c>
      <c r="F9" s="510" t="s">
        <v>1468</v>
      </c>
      <c r="G9" s="780" t="s">
        <v>1466</v>
      </c>
      <c r="H9" s="780" t="s">
        <v>1467</v>
      </c>
    </row>
    <row r="10" spans="1:12" ht="17">
      <c r="A10" s="1954">
        <v>42758</v>
      </c>
      <c r="B10" s="1955" t="s">
        <v>2040</v>
      </c>
      <c r="D10" s="1957" t="str">
        <f t="shared" si="0"/>
        <v>V170123</v>
      </c>
      <c r="E10" s="510" t="s">
        <v>1191</v>
      </c>
      <c r="G10" s="780" t="s">
        <v>1469</v>
      </c>
      <c r="H10" s="780" t="s">
        <v>1467</v>
      </c>
    </row>
    <row r="11" spans="1:12" ht="17">
      <c r="A11" s="1954">
        <v>42758</v>
      </c>
      <c r="B11" s="1955" t="s">
        <v>2040</v>
      </c>
      <c r="D11" s="1957" t="str">
        <f t="shared" ref="D11" si="2">"V"&amp;RIGHT(YEAR(A11)&amp;IF(MONTH(A11)&lt;10,"0","")&amp;MONTH(A11)&amp;IF(DAY(A11)&lt;10,"0","")&amp;DAY(A11),6)&amp;C11</f>
        <v>V170123</v>
      </c>
      <c r="E11" s="510" t="s">
        <v>1191</v>
      </c>
      <c r="F11" s="510" t="s">
        <v>1470</v>
      </c>
      <c r="G11" s="780" t="s">
        <v>1466</v>
      </c>
      <c r="H11" s="780" t="s">
        <v>1471</v>
      </c>
    </row>
    <row r="12" spans="1:12" ht="17">
      <c r="A12" s="1954">
        <v>42872</v>
      </c>
      <c r="B12" s="1955" t="s">
        <v>2040</v>
      </c>
      <c r="D12" s="1957" t="str">
        <f t="shared" si="0"/>
        <v>V170517</v>
      </c>
      <c r="E12" s="510" t="s">
        <v>1485</v>
      </c>
      <c r="H12" s="780" t="s">
        <v>1486</v>
      </c>
    </row>
    <row r="13" spans="1:12" ht="17">
      <c r="A13" s="1954">
        <v>42904</v>
      </c>
      <c r="B13" s="1955" t="s">
        <v>2040</v>
      </c>
      <c r="D13" s="1957" t="str">
        <f t="shared" si="0"/>
        <v>V170618</v>
      </c>
      <c r="E13" s="510" t="s">
        <v>1491</v>
      </c>
      <c r="G13" s="780" t="s">
        <v>1490</v>
      </c>
      <c r="H13" s="780" t="s">
        <v>1546</v>
      </c>
    </row>
    <row r="14" spans="1:12" ht="17">
      <c r="A14" s="1954">
        <v>42993</v>
      </c>
      <c r="B14" s="1955" t="s">
        <v>2040</v>
      </c>
      <c r="D14" s="1957" t="str">
        <f t="shared" si="0"/>
        <v>V170915</v>
      </c>
      <c r="E14" s="510" t="s">
        <v>1191</v>
      </c>
      <c r="F14" s="510" t="s">
        <v>1547</v>
      </c>
      <c r="G14" s="780" t="s">
        <v>1548</v>
      </c>
    </row>
    <row r="15" spans="1:12" ht="17">
      <c r="A15" s="1954">
        <v>43009</v>
      </c>
      <c r="B15" s="1955" t="s">
        <v>2040</v>
      </c>
      <c r="D15" s="1957" t="str">
        <f t="shared" si="0"/>
        <v>V171001</v>
      </c>
      <c r="E15" s="510" t="s">
        <v>1191</v>
      </c>
      <c r="G15" s="780" t="s">
        <v>1558</v>
      </c>
      <c r="H15" s="780" t="s">
        <v>1559</v>
      </c>
    </row>
    <row r="16" spans="1:12" ht="17">
      <c r="A16" s="1954">
        <v>43009</v>
      </c>
      <c r="B16" s="1955" t="s">
        <v>2040</v>
      </c>
      <c r="D16" s="1957" t="str">
        <f t="shared" ref="D16:D17" si="3">"V"&amp;RIGHT(YEAR(A16)&amp;IF(MONTH(A16)&lt;10,"0","")&amp;MONTH(A16)&amp;IF(DAY(A16)&lt;10,"0","")&amp;DAY(A16),6)&amp;C16</f>
        <v>V171001</v>
      </c>
      <c r="E16" s="510" t="s">
        <v>1191</v>
      </c>
      <c r="G16" s="780" t="s">
        <v>1560</v>
      </c>
      <c r="H16" s="780" t="s">
        <v>1561</v>
      </c>
    </row>
    <row r="17" spans="1:8" ht="17">
      <c r="A17" s="1954">
        <v>43037</v>
      </c>
      <c r="B17" s="1955" t="s">
        <v>2040</v>
      </c>
      <c r="D17" s="1957" t="str">
        <f t="shared" si="3"/>
        <v>V171029</v>
      </c>
      <c r="E17" s="510" t="s">
        <v>1389</v>
      </c>
      <c r="G17" s="780" t="s">
        <v>1596</v>
      </c>
      <c r="H17" s="780" t="s">
        <v>1595</v>
      </c>
    </row>
    <row r="18" spans="1:8" ht="17">
      <c r="A18" s="1954">
        <v>43037</v>
      </c>
      <c r="B18" s="1955" t="s">
        <v>2040</v>
      </c>
      <c r="D18" s="1957" t="str">
        <f t="shared" ref="D18:D20" si="4">"V"&amp;RIGHT(YEAR(A18)&amp;IF(MONTH(A18)&lt;10,"0","")&amp;MONTH(A18)&amp;IF(DAY(A18)&lt;10,"0","")&amp;DAY(A18),6)&amp;C18</f>
        <v>V171029</v>
      </c>
      <c r="E18" s="510" t="s">
        <v>1424</v>
      </c>
      <c r="G18" s="780" t="s">
        <v>1422</v>
      </c>
      <c r="H18" s="780" t="s">
        <v>1594</v>
      </c>
    </row>
    <row r="19" spans="1:8" ht="17">
      <c r="A19" s="1954">
        <v>43065</v>
      </c>
      <c r="B19" s="1955" t="s">
        <v>2040</v>
      </c>
      <c r="D19" s="1957" t="str">
        <f t="shared" si="4"/>
        <v>V171126</v>
      </c>
      <c r="E19" s="510" t="s">
        <v>1191</v>
      </c>
      <c r="F19" s="510" t="s">
        <v>1597</v>
      </c>
      <c r="G19" s="780" t="s">
        <v>1598</v>
      </c>
      <c r="H19" s="780" t="s">
        <v>1599</v>
      </c>
    </row>
    <row r="20" spans="1:8" ht="17">
      <c r="A20" s="1954">
        <v>43066</v>
      </c>
      <c r="B20" s="1955" t="s">
        <v>2040</v>
      </c>
      <c r="D20" s="1957" t="str">
        <f t="shared" si="4"/>
        <v>V171127</v>
      </c>
      <c r="E20" s="510" t="s">
        <v>1424</v>
      </c>
      <c r="F20" s="510" t="s">
        <v>1600</v>
      </c>
      <c r="G20" s="780" t="s">
        <v>1601</v>
      </c>
      <c r="H20" s="780" t="s">
        <v>1602</v>
      </c>
    </row>
    <row r="21" spans="1:8" ht="17">
      <c r="A21" s="1954">
        <v>43066</v>
      </c>
      <c r="B21" s="1955" t="s">
        <v>2040</v>
      </c>
      <c r="D21" s="1957" t="str">
        <f t="shared" ref="D21:D23" si="5">"V"&amp;RIGHT(YEAR(A21)&amp;IF(MONTH(A21)&lt;10,"0","")&amp;MONTH(A21)&amp;IF(DAY(A21)&lt;10,"0","")&amp;DAY(A21),6)&amp;C21</f>
        <v>V171127</v>
      </c>
      <c r="E21" s="510" t="s">
        <v>1389</v>
      </c>
      <c r="F21" s="510" t="s">
        <v>1603</v>
      </c>
      <c r="G21" s="780" t="s">
        <v>1604</v>
      </c>
      <c r="H21" s="780" t="s">
        <v>1605</v>
      </c>
    </row>
    <row r="22" spans="1:8" ht="17">
      <c r="A22" s="1954">
        <v>43137</v>
      </c>
      <c r="B22" s="1955" t="s">
        <v>2040</v>
      </c>
      <c r="D22" s="1957" t="str">
        <f t="shared" si="5"/>
        <v>V180206</v>
      </c>
      <c r="E22" s="510" t="s">
        <v>1424</v>
      </c>
      <c r="F22" s="510" t="s">
        <v>1610</v>
      </c>
      <c r="G22" s="780" t="s">
        <v>1608</v>
      </c>
      <c r="H22" s="780" t="s">
        <v>1609</v>
      </c>
    </row>
    <row r="23" spans="1:8" ht="17">
      <c r="A23" s="1954">
        <v>43171</v>
      </c>
      <c r="B23" s="1955" t="s">
        <v>2040</v>
      </c>
      <c r="D23" s="1957" t="str">
        <f t="shared" si="5"/>
        <v>V180312</v>
      </c>
      <c r="E23" s="510" t="s">
        <v>1191</v>
      </c>
      <c r="F23" s="510" t="s">
        <v>1621</v>
      </c>
      <c r="G23" s="780" t="s">
        <v>1617</v>
      </c>
      <c r="H23" s="780" t="s">
        <v>1618</v>
      </c>
    </row>
    <row r="24" spans="1:8" ht="17">
      <c r="A24" s="1954">
        <v>43171</v>
      </c>
      <c r="B24" s="1955" t="s">
        <v>2040</v>
      </c>
      <c r="D24" s="1957" t="str">
        <f t="shared" ref="D24:D32" si="6">"V"&amp;RIGHT(YEAR(A24)&amp;IF(MONTH(A24)&lt;10,"0","")&amp;MONTH(A24)&amp;IF(DAY(A24)&lt;10,"0","")&amp;DAY(A24),6)&amp;C24</f>
        <v>V180312</v>
      </c>
      <c r="E24" s="510" t="s">
        <v>1191</v>
      </c>
      <c r="F24" s="510" t="s">
        <v>1619</v>
      </c>
      <c r="G24" s="780" t="s">
        <v>1608</v>
      </c>
      <c r="H24" s="780" t="s">
        <v>1620</v>
      </c>
    </row>
    <row r="25" spans="1:8" ht="34">
      <c r="A25" s="1954">
        <v>43178</v>
      </c>
      <c r="B25" s="1955" t="s">
        <v>2040</v>
      </c>
      <c r="D25" s="1957" t="str">
        <f t="shared" si="6"/>
        <v>V180319</v>
      </c>
      <c r="E25" s="510" t="s">
        <v>1622</v>
      </c>
      <c r="F25" s="510" t="s">
        <v>1623</v>
      </c>
      <c r="G25" s="780" t="s">
        <v>1624</v>
      </c>
      <c r="H25" s="780" t="s">
        <v>1626</v>
      </c>
    </row>
    <row r="26" spans="1:8" ht="17">
      <c r="A26" s="1954">
        <v>43186</v>
      </c>
      <c r="B26" s="1955" t="s">
        <v>2040</v>
      </c>
      <c r="D26" s="1957" t="str">
        <f t="shared" si="6"/>
        <v>V180327</v>
      </c>
      <c r="E26" s="510" t="s">
        <v>1389</v>
      </c>
      <c r="F26" s="510" t="s">
        <v>1630</v>
      </c>
      <c r="G26" s="780" t="s">
        <v>1463</v>
      </c>
      <c r="H26" s="780" t="s">
        <v>1631</v>
      </c>
    </row>
    <row r="27" spans="1:8" ht="17">
      <c r="A27" s="1954">
        <v>43233</v>
      </c>
      <c r="B27" s="1955" t="s">
        <v>2040</v>
      </c>
      <c r="D27" s="1957" t="str">
        <f t="shared" si="6"/>
        <v>V180513</v>
      </c>
      <c r="E27" s="510" t="s">
        <v>1635</v>
      </c>
      <c r="F27" s="510" t="s">
        <v>1636</v>
      </c>
      <c r="G27" s="780" t="s">
        <v>1634</v>
      </c>
      <c r="H27" s="780" t="s">
        <v>1639</v>
      </c>
    </row>
    <row r="28" spans="1:8" ht="17">
      <c r="A28" s="1954">
        <v>43233</v>
      </c>
      <c r="B28" s="1955" t="s">
        <v>2040</v>
      </c>
      <c r="C28" s="1956" t="s">
        <v>1188</v>
      </c>
      <c r="D28" s="1957" t="str">
        <f t="shared" si="6"/>
        <v>V180513a</v>
      </c>
      <c r="E28" s="510" t="s">
        <v>1191</v>
      </c>
      <c r="F28" s="510" t="s">
        <v>1643</v>
      </c>
      <c r="G28" s="780" t="s">
        <v>1644</v>
      </c>
      <c r="H28" s="780" t="s">
        <v>1645</v>
      </c>
    </row>
    <row r="29" spans="1:8" ht="17">
      <c r="A29" s="1954">
        <v>43340</v>
      </c>
      <c r="B29" s="1955" t="s">
        <v>2040</v>
      </c>
      <c r="C29" s="1956" t="s">
        <v>1188</v>
      </c>
      <c r="D29" s="1957" t="str">
        <f t="shared" si="6"/>
        <v>V180828a</v>
      </c>
      <c r="E29" s="510" t="s">
        <v>1699</v>
      </c>
      <c r="H29" s="780" t="s">
        <v>1722</v>
      </c>
    </row>
    <row r="30" spans="1:8" ht="17">
      <c r="A30" s="1954">
        <v>43340</v>
      </c>
      <c r="B30" s="1955" t="s">
        <v>2040</v>
      </c>
      <c r="D30" s="1957" t="str">
        <f t="shared" si="6"/>
        <v>V180828</v>
      </c>
      <c r="E30" s="510" t="s">
        <v>1723</v>
      </c>
      <c r="H30" s="780" t="s">
        <v>1724</v>
      </c>
    </row>
    <row r="31" spans="1:8" ht="17">
      <c r="A31" s="1954">
        <v>43368</v>
      </c>
      <c r="B31" s="1955" t="s">
        <v>2040</v>
      </c>
      <c r="D31" s="1957" t="str">
        <f t="shared" si="6"/>
        <v>V180925</v>
      </c>
      <c r="E31" s="510" t="s">
        <v>1728</v>
      </c>
      <c r="H31" s="780" t="s">
        <v>1729</v>
      </c>
    </row>
    <row r="32" spans="1:8" ht="17">
      <c r="A32" s="1954">
        <v>43368</v>
      </c>
      <c r="B32" s="1955" t="s">
        <v>2040</v>
      </c>
      <c r="C32" s="1956" t="s">
        <v>1188</v>
      </c>
      <c r="D32" s="1957" t="str">
        <f t="shared" si="6"/>
        <v>V180925a</v>
      </c>
      <c r="E32" s="510" t="s">
        <v>1389</v>
      </c>
      <c r="H32" s="780" t="s">
        <v>1730</v>
      </c>
    </row>
    <row r="33" spans="1:8" ht="17">
      <c r="A33" s="1954">
        <v>43368</v>
      </c>
      <c r="B33" s="1955" t="s">
        <v>2040</v>
      </c>
      <c r="C33" s="1956" t="s">
        <v>1731</v>
      </c>
      <c r="D33" s="1957" t="str">
        <f t="shared" ref="D33:D41" si="7">"V"&amp;RIGHT(YEAR(A33)&amp;IF(MONTH(A33)&lt;10,"0","")&amp;MONTH(A33)&amp;IF(DAY(A33)&lt;10,"0","")&amp;DAY(A33),6)&amp;C33</f>
        <v>V180925b</v>
      </c>
      <c r="E33" s="510" t="s">
        <v>1424</v>
      </c>
      <c r="H33" s="780" t="s">
        <v>1732</v>
      </c>
    </row>
    <row r="34" spans="1:8" ht="17">
      <c r="A34" s="1954">
        <v>43500</v>
      </c>
      <c r="B34" s="1955" t="s">
        <v>2040</v>
      </c>
      <c r="D34" s="1957" t="str">
        <f t="shared" si="7"/>
        <v>V190204</v>
      </c>
      <c r="E34" s="510" t="s">
        <v>1622</v>
      </c>
      <c r="F34" s="510" t="s">
        <v>1767</v>
      </c>
      <c r="G34" s="780" t="s">
        <v>1768</v>
      </c>
      <c r="H34" s="780" t="s">
        <v>1769</v>
      </c>
    </row>
    <row r="35" spans="1:8" ht="17">
      <c r="A35" s="1954">
        <v>43586</v>
      </c>
      <c r="B35" s="1955" t="s">
        <v>2040</v>
      </c>
      <c r="D35" s="1957" t="s">
        <v>1095</v>
      </c>
      <c r="E35" s="510" t="s">
        <v>1825</v>
      </c>
      <c r="H35" s="780" t="s">
        <v>1826</v>
      </c>
    </row>
    <row r="36" spans="1:8" ht="17">
      <c r="A36" s="1954">
        <v>43586</v>
      </c>
      <c r="B36" s="1955" t="s">
        <v>2040</v>
      </c>
      <c r="D36" s="1957" t="s">
        <v>1095</v>
      </c>
      <c r="E36" s="510" t="s">
        <v>1389</v>
      </c>
      <c r="H36" s="780" t="s">
        <v>1827</v>
      </c>
    </row>
    <row r="37" spans="1:8" ht="17">
      <c r="A37" s="1954">
        <v>43586</v>
      </c>
      <c r="B37" s="1955" t="s">
        <v>2040</v>
      </c>
      <c r="D37" s="1957" t="s">
        <v>1095</v>
      </c>
      <c r="E37" s="510" t="s">
        <v>1823</v>
      </c>
      <c r="H37" s="780" t="s">
        <v>1824</v>
      </c>
    </row>
    <row r="38" spans="1:8" ht="96" customHeight="1">
      <c r="A38" s="1954">
        <v>43587</v>
      </c>
      <c r="B38" s="1955" t="s">
        <v>2041</v>
      </c>
      <c r="D38" s="1957" t="s">
        <v>1095</v>
      </c>
      <c r="E38" s="510" t="s">
        <v>1622</v>
      </c>
      <c r="G38" s="780" t="s">
        <v>1835</v>
      </c>
      <c r="H38" s="1958" t="s">
        <v>1834</v>
      </c>
    </row>
    <row r="39" spans="1:8" ht="17">
      <c r="A39" s="1954">
        <v>43594</v>
      </c>
      <c r="B39" s="1955" t="s">
        <v>2040</v>
      </c>
      <c r="D39" s="1957" t="str">
        <f t="shared" si="7"/>
        <v>V190509</v>
      </c>
      <c r="G39" s="780" t="s">
        <v>1837</v>
      </c>
      <c r="H39" s="1959" t="s">
        <v>1838</v>
      </c>
    </row>
    <row r="40" spans="1:8" ht="17">
      <c r="A40" s="1954">
        <v>43619</v>
      </c>
      <c r="B40" s="1955" t="s">
        <v>2040</v>
      </c>
      <c r="D40" s="1957" t="str">
        <f t="shared" si="7"/>
        <v>V190603</v>
      </c>
      <c r="H40" s="780" t="s">
        <v>1841</v>
      </c>
    </row>
    <row r="41" spans="1:8" ht="17">
      <c r="A41" s="1954">
        <v>43642</v>
      </c>
      <c r="B41" s="1955" t="s">
        <v>2040</v>
      </c>
      <c r="D41" s="1957" t="str">
        <f t="shared" si="7"/>
        <v>V190626</v>
      </c>
      <c r="E41" s="510" t="s">
        <v>1843</v>
      </c>
      <c r="H41" s="780" t="s">
        <v>1842</v>
      </c>
    </row>
    <row r="42" spans="1:8" ht="34">
      <c r="A42" s="1954">
        <v>43718</v>
      </c>
      <c r="B42" s="1955" t="s">
        <v>2040</v>
      </c>
      <c r="D42" s="1957" t="s">
        <v>1906</v>
      </c>
      <c r="E42" s="510" t="s">
        <v>1191</v>
      </c>
      <c r="F42" s="510" t="s">
        <v>1846</v>
      </c>
      <c r="G42" s="780" t="s">
        <v>1847</v>
      </c>
      <c r="H42" s="780" t="s">
        <v>1848</v>
      </c>
    </row>
    <row r="43" spans="1:8" ht="17">
      <c r="A43" s="1954">
        <v>43718</v>
      </c>
      <c r="B43" s="1955" t="s">
        <v>2040</v>
      </c>
      <c r="D43" s="1957" t="s">
        <v>1906</v>
      </c>
      <c r="E43" s="510" t="s">
        <v>1191</v>
      </c>
      <c r="F43" s="510" t="s">
        <v>1855</v>
      </c>
      <c r="G43" s="780" t="s">
        <v>1847</v>
      </c>
      <c r="H43" s="780" t="s">
        <v>1856</v>
      </c>
    </row>
    <row r="44" spans="1:8" ht="17">
      <c r="A44" s="1954">
        <v>43718</v>
      </c>
      <c r="B44" s="1955" t="s">
        <v>2040</v>
      </c>
      <c r="D44" s="1957" t="s">
        <v>1906</v>
      </c>
      <c r="E44" s="510" t="s">
        <v>1191</v>
      </c>
      <c r="F44" s="510" t="s">
        <v>1867</v>
      </c>
      <c r="G44" s="780" t="s">
        <v>1861</v>
      </c>
      <c r="H44" s="780" t="s">
        <v>1864</v>
      </c>
    </row>
    <row r="45" spans="1:8" ht="51">
      <c r="A45" s="1954">
        <v>43718</v>
      </c>
      <c r="B45" s="1955" t="s">
        <v>2040</v>
      </c>
      <c r="D45" s="1957" t="s">
        <v>1906</v>
      </c>
      <c r="E45" s="510" t="s">
        <v>1191</v>
      </c>
      <c r="F45" s="510" t="s">
        <v>1873</v>
      </c>
      <c r="G45" s="780" t="s">
        <v>1874</v>
      </c>
      <c r="H45" s="780" t="s">
        <v>1876</v>
      </c>
    </row>
    <row r="46" spans="1:8" ht="85">
      <c r="A46" s="1954">
        <v>43718</v>
      </c>
      <c r="B46" s="1955" t="s">
        <v>2040</v>
      </c>
      <c r="D46" s="1957" t="s">
        <v>1906</v>
      </c>
      <c r="E46" s="510" t="s">
        <v>1191</v>
      </c>
      <c r="F46" s="510" t="s">
        <v>1868</v>
      </c>
      <c r="H46" s="780" t="s">
        <v>1890</v>
      </c>
    </row>
    <row r="47" spans="1:8" ht="34">
      <c r="A47" s="1954">
        <v>43718</v>
      </c>
      <c r="B47" s="1955" t="s">
        <v>2040</v>
      </c>
      <c r="D47" s="1957" t="s">
        <v>1906</v>
      </c>
      <c r="E47" s="510" t="s">
        <v>1191</v>
      </c>
      <c r="F47" s="510" t="s">
        <v>1869</v>
      </c>
      <c r="G47" s="780" t="s">
        <v>1865</v>
      </c>
      <c r="H47" s="780" t="s">
        <v>1875</v>
      </c>
    </row>
    <row r="48" spans="1:8" ht="34">
      <c r="A48" s="1954">
        <v>43718</v>
      </c>
      <c r="B48" s="1955" t="s">
        <v>2040</v>
      </c>
      <c r="D48" s="1957" t="s">
        <v>1906</v>
      </c>
      <c r="E48" s="510" t="s">
        <v>1891</v>
      </c>
      <c r="G48" s="780" t="s">
        <v>1892</v>
      </c>
      <c r="H48" s="780" t="s">
        <v>1893</v>
      </c>
    </row>
    <row r="49" spans="1:12" ht="17">
      <c r="A49" s="1954">
        <v>43718</v>
      </c>
      <c r="B49" s="1955" t="s">
        <v>2040</v>
      </c>
      <c r="D49" s="1957" t="s">
        <v>1906</v>
      </c>
      <c r="E49" s="510" t="s">
        <v>1891</v>
      </c>
      <c r="F49" s="510" t="s">
        <v>1904</v>
      </c>
      <c r="G49" s="780" t="s">
        <v>1887</v>
      </c>
      <c r="H49" s="780" t="s">
        <v>1903</v>
      </c>
    </row>
    <row r="50" spans="1:12" ht="51">
      <c r="A50" s="1954">
        <v>43725</v>
      </c>
      <c r="B50" s="1955" t="s">
        <v>2040</v>
      </c>
      <c r="D50" s="1957" t="str">
        <f t="shared" ref="D50" si="8">"V"&amp;RIGHT(YEAR(A50)&amp;IF(MONTH(A50)&lt;10,"0","")&amp;MONTH(A50)&amp;IF(DAY(A50)&lt;10,"0","")&amp;DAY(A50),6)&amp;C50</f>
        <v>V190917</v>
      </c>
      <c r="E50" s="510" t="s">
        <v>1424</v>
      </c>
      <c r="F50" s="510" t="s">
        <v>1905</v>
      </c>
      <c r="G50" s="780" t="s">
        <v>1604</v>
      </c>
      <c r="H50" s="780" t="s">
        <v>1907</v>
      </c>
    </row>
    <row r="51" spans="1:12" ht="17">
      <c r="A51" s="1954">
        <v>43742</v>
      </c>
      <c r="B51" s="1955" t="s">
        <v>2040</v>
      </c>
      <c r="D51" s="1957" t="s">
        <v>1840</v>
      </c>
      <c r="E51" s="510" t="s">
        <v>1622</v>
      </c>
      <c r="F51" s="510">
        <v>2.2999999999999998</v>
      </c>
      <c r="G51" s="780" t="s">
        <v>1913</v>
      </c>
      <c r="H51" s="780" t="s">
        <v>1914</v>
      </c>
    </row>
    <row r="52" spans="1:12" ht="34">
      <c r="A52" s="1954">
        <v>43742</v>
      </c>
      <c r="B52" s="1955" t="s">
        <v>2040</v>
      </c>
      <c r="E52" s="510" t="s">
        <v>1191</v>
      </c>
      <c r="F52" s="510" t="s">
        <v>1917</v>
      </c>
      <c r="G52" s="780" t="s">
        <v>1918</v>
      </c>
      <c r="H52" s="780" t="s">
        <v>1942</v>
      </c>
    </row>
    <row r="53" spans="1:12" ht="17">
      <c r="A53" s="1954">
        <v>43742</v>
      </c>
      <c r="B53" s="1955" t="s">
        <v>2040</v>
      </c>
      <c r="D53" s="1957" t="s">
        <v>1840</v>
      </c>
      <c r="E53" s="510" t="s">
        <v>1191</v>
      </c>
      <c r="F53" s="510" t="s">
        <v>1946</v>
      </c>
      <c r="G53" s="780" t="s">
        <v>1947</v>
      </c>
      <c r="H53" s="780" t="s">
        <v>1948</v>
      </c>
    </row>
    <row r="54" spans="1:12" ht="17">
      <c r="A54" s="1954">
        <v>43742</v>
      </c>
      <c r="B54" s="1955" t="s">
        <v>2040</v>
      </c>
      <c r="D54" s="1957" t="str">
        <f t="shared" ref="D54:D58" si="9">"V"&amp;RIGHT(YEAR(A54)&amp;IF(MONTH(A54)&lt;10,"0","")&amp;MONTH(A54)&amp;IF(DAY(A54)&lt;10,"0","")&amp;DAY(A54),6)&amp;C54</f>
        <v>V191004</v>
      </c>
      <c r="E54" s="510" t="s">
        <v>1191</v>
      </c>
      <c r="F54" s="510" t="s">
        <v>1934</v>
      </c>
      <c r="G54" s="780" t="s">
        <v>1928</v>
      </c>
      <c r="H54" s="780" t="s">
        <v>1929</v>
      </c>
    </row>
    <row r="55" spans="1:12" ht="17">
      <c r="A55" s="1954">
        <v>43745</v>
      </c>
      <c r="B55" s="1955" t="s">
        <v>2040</v>
      </c>
      <c r="D55" s="1957" t="str">
        <f t="shared" si="9"/>
        <v>V191007</v>
      </c>
      <c r="E55" s="510" t="s">
        <v>1971</v>
      </c>
      <c r="F55" s="510" t="s">
        <v>1934</v>
      </c>
      <c r="H55" s="780" t="s">
        <v>1970</v>
      </c>
    </row>
    <row r="56" spans="1:12" ht="85">
      <c r="A56" s="1954">
        <v>43788</v>
      </c>
      <c r="B56" s="1955" t="s">
        <v>2040</v>
      </c>
      <c r="D56" s="1957" t="str">
        <f t="shared" si="9"/>
        <v>V191119</v>
      </c>
      <c r="E56" s="780" t="s">
        <v>1977</v>
      </c>
      <c r="H56" s="780" t="s">
        <v>1978</v>
      </c>
    </row>
    <row r="57" spans="1:12" ht="17">
      <c r="A57" s="1954">
        <v>43823</v>
      </c>
      <c r="B57" s="1955" t="s">
        <v>2040</v>
      </c>
      <c r="D57" s="1957" t="str">
        <f t="shared" si="9"/>
        <v>V191224</v>
      </c>
      <c r="E57" s="510" t="s">
        <v>1979</v>
      </c>
      <c r="F57" s="510" t="s">
        <v>1192</v>
      </c>
      <c r="G57" s="780" t="s">
        <v>1608</v>
      </c>
      <c r="H57" s="780" t="s">
        <v>1980</v>
      </c>
    </row>
    <row r="58" spans="1:12" ht="17">
      <c r="A58" s="1954">
        <v>43856</v>
      </c>
      <c r="B58" s="1955" t="s">
        <v>2040</v>
      </c>
      <c r="D58" s="1957" t="str">
        <f t="shared" si="9"/>
        <v>V200126</v>
      </c>
      <c r="E58" s="510" t="s">
        <v>1191</v>
      </c>
      <c r="H58" s="780" t="s">
        <v>1983</v>
      </c>
    </row>
    <row r="59" spans="1:12" ht="17">
      <c r="A59" s="1954">
        <v>43857</v>
      </c>
      <c r="B59" s="1955" t="s">
        <v>2040</v>
      </c>
      <c r="D59" s="1957" t="str">
        <f t="shared" ref="D59:D61" si="10">"V"&amp;RIGHT(YEAR(A59)&amp;IF(MONTH(A59)&lt;10,"0","")&amp;MONTH(A59)&amp;IF(DAY(A59)&lt;10,"0","")&amp;DAY(A59),6)&amp;C59</f>
        <v>V200127</v>
      </c>
      <c r="E59" s="510" t="s">
        <v>1191</v>
      </c>
      <c r="H59" s="780" t="s">
        <v>1984</v>
      </c>
    </row>
    <row r="60" spans="1:12" ht="17">
      <c r="A60" s="1954">
        <v>44007</v>
      </c>
      <c r="B60" s="1955" t="s">
        <v>2040</v>
      </c>
      <c r="D60" s="1957" t="str">
        <f t="shared" si="10"/>
        <v>V200625</v>
      </c>
      <c r="E60" s="510" t="s">
        <v>1191</v>
      </c>
      <c r="F60" s="510" t="s">
        <v>1985</v>
      </c>
      <c r="G60" s="780" t="s">
        <v>1861</v>
      </c>
      <c r="H60" s="780" t="s">
        <v>1986</v>
      </c>
    </row>
    <row r="61" spans="1:12" ht="17">
      <c r="A61" s="1954">
        <v>44060</v>
      </c>
      <c r="B61" s="1955" t="s">
        <v>2040</v>
      </c>
      <c r="D61" s="1957" t="str">
        <f t="shared" si="10"/>
        <v>V200817</v>
      </c>
      <c r="E61" s="510" t="s">
        <v>1989</v>
      </c>
      <c r="F61" s="510" t="s">
        <v>1992</v>
      </c>
      <c r="G61" s="780" t="s">
        <v>1674</v>
      </c>
      <c r="H61" s="780" t="s">
        <v>1993</v>
      </c>
    </row>
    <row r="62" spans="1:12" ht="42" customHeight="1">
      <c r="A62" s="1954">
        <v>44280</v>
      </c>
      <c r="B62" s="1955" t="s">
        <v>2041</v>
      </c>
      <c r="D62" s="1957" t="str">
        <f>"V"&amp;RIGHT(YEAR(A62)&amp;IF(MONTH(A62)&lt;10,"0","")&amp;MONTH(A62)&amp;IF(DAY(A62)&lt;10,"0","")&amp;DAY(A62),6)&amp;C62</f>
        <v>V210325</v>
      </c>
      <c r="E62" s="510" t="s">
        <v>1994</v>
      </c>
      <c r="F62" s="510" t="s">
        <v>2002</v>
      </c>
      <c r="G62" s="780" t="s">
        <v>1997</v>
      </c>
      <c r="H62" s="780" t="s">
        <v>2006</v>
      </c>
      <c r="I62" s="155" t="s">
        <v>2007</v>
      </c>
      <c r="J62" s="155"/>
      <c r="K62" s="155"/>
      <c r="L62" s="155"/>
    </row>
    <row r="63" spans="1:12" ht="48" customHeight="1">
      <c r="B63" s="1955" t="s">
        <v>2041</v>
      </c>
      <c r="E63" s="510" t="s">
        <v>1995</v>
      </c>
      <c r="F63" s="510" t="s">
        <v>1998</v>
      </c>
      <c r="G63" s="780" t="s">
        <v>1997</v>
      </c>
      <c r="H63" s="780" t="s">
        <v>2006</v>
      </c>
      <c r="I63" s="155" t="s">
        <v>2007</v>
      </c>
      <c r="J63" s="155"/>
      <c r="K63" s="155"/>
      <c r="L63" s="155"/>
    </row>
    <row r="64" spans="1:12" ht="42" customHeight="1">
      <c r="B64" s="1955" t="s">
        <v>2041</v>
      </c>
      <c r="E64" s="510" t="s">
        <v>1996</v>
      </c>
      <c r="F64" s="510" t="s">
        <v>1999</v>
      </c>
      <c r="G64" s="780" t="s">
        <v>1997</v>
      </c>
      <c r="H64" s="780" t="s">
        <v>2006</v>
      </c>
      <c r="I64" s="155" t="s">
        <v>2007</v>
      </c>
      <c r="J64" s="155"/>
      <c r="K64" s="155"/>
      <c r="L64" s="155"/>
    </row>
    <row r="65" spans="1:12" s="510" customFormat="1" ht="63" customHeight="1">
      <c r="A65" s="1954"/>
      <c r="B65" s="1955" t="s">
        <v>2041</v>
      </c>
      <c r="C65" s="1956"/>
      <c r="D65" s="1957"/>
      <c r="E65" s="510" t="s">
        <v>1994</v>
      </c>
      <c r="F65" s="510" t="s">
        <v>2004</v>
      </c>
      <c r="G65" s="780" t="s">
        <v>2000</v>
      </c>
      <c r="H65" s="1960" t="s">
        <v>2001</v>
      </c>
      <c r="I65" s="1962" t="s">
        <v>872</v>
      </c>
      <c r="J65" s="1962"/>
      <c r="K65" s="1962" t="s">
        <v>2003</v>
      </c>
      <c r="L65" s="1962"/>
    </row>
    <row r="66" spans="1:12" s="510" customFormat="1" ht="62" customHeight="1">
      <c r="A66" s="1954"/>
      <c r="B66" s="1955" t="s">
        <v>2041</v>
      </c>
      <c r="C66" s="1956"/>
      <c r="D66" s="1957"/>
      <c r="E66" s="510" t="s">
        <v>1996</v>
      </c>
      <c r="F66" s="510" t="s">
        <v>2005</v>
      </c>
      <c r="G66" s="780" t="s">
        <v>2000</v>
      </c>
      <c r="H66" s="1960" t="s">
        <v>2001</v>
      </c>
      <c r="I66" s="1962" t="s">
        <v>872</v>
      </c>
      <c r="J66" s="1962"/>
      <c r="K66" s="1962" t="s">
        <v>2003</v>
      </c>
      <c r="L66" s="1962"/>
    </row>
    <row r="67" spans="1:12" s="510" customFormat="1" ht="36">
      <c r="A67" s="1954">
        <v>44650</v>
      </c>
      <c r="B67" s="1955" t="s">
        <v>2041</v>
      </c>
      <c r="C67" s="1956"/>
      <c r="D67" s="1957" t="s">
        <v>2011</v>
      </c>
      <c r="E67" s="510" t="s">
        <v>1994</v>
      </c>
      <c r="F67" s="510" t="s">
        <v>2013</v>
      </c>
      <c r="G67" s="780" t="s">
        <v>2012</v>
      </c>
      <c r="H67" s="1970" t="s">
        <v>2010</v>
      </c>
      <c r="I67" s="1963" t="s">
        <v>2017</v>
      </c>
      <c r="J67" s="1963"/>
      <c r="K67" s="1963"/>
      <c r="L67" s="1963"/>
    </row>
    <row r="68" spans="1:12" s="510" customFormat="1" ht="36">
      <c r="A68" s="1954"/>
      <c r="B68" s="1955" t="s">
        <v>2041</v>
      </c>
      <c r="C68" s="1956"/>
      <c r="D68" s="1957"/>
      <c r="E68" s="510" t="s">
        <v>1996</v>
      </c>
      <c r="F68" s="510" t="s">
        <v>2014</v>
      </c>
      <c r="G68" s="780" t="s">
        <v>2012</v>
      </c>
      <c r="H68" s="1970" t="s">
        <v>2010</v>
      </c>
      <c r="I68" s="1964" t="s">
        <v>2017</v>
      </c>
      <c r="J68" s="1964"/>
      <c r="K68" s="1964"/>
      <c r="L68" s="1964"/>
    </row>
    <row r="69" spans="1:12" ht="122" customHeight="1">
      <c r="B69" s="1955" t="s">
        <v>2041</v>
      </c>
      <c r="E69" s="510" t="s">
        <v>1994</v>
      </c>
      <c r="F69" s="510" t="s">
        <v>2015</v>
      </c>
      <c r="G69" s="780" t="s">
        <v>2020</v>
      </c>
      <c r="H69" s="1970" t="s">
        <v>2016</v>
      </c>
      <c r="I69" s="1965" t="s">
        <v>2087</v>
      </c>
      <c r="J69" s="1965"/>
      <c r="K69" s="1965"/>
      <c r="L69" s="1965"/>
    </row>
    <row r="70" spans="1:12" ht="137" customHeight="1">
      <c r="B70" s="1955" t="s">
        <v>2041</v>
      </c>
      <c r="E70" s="510" t="s">
        <v>19</v>
      </c>
      <c r="F70" s="510" t="s">
        <v>2023</v>
      </c>
      <c r="G70" s="780" t="s">
        <v>2020</v>
      </c>
      <c r="H70" s="1970" t="s">
        <v>2016</v>
      </c>
      <c r="I70" s="1965" t="s">
        <v>2087</v>
      </c>
      <c r="J70" s="1965"/>
      <c r="K70" s="1965"/>
      <c r="L70" s="1965"/>
    </row>
    <row r="71" spans="1:12" ht="109" customHeight="1">
      <c r="B71" s="1955" t="s">
        <v>2041</v>
      </c>
      <c r="E71" s="510" t="s">
        <v>1994</v>
      </c>
      <c r="F71" s="510" t="s">
        <v>2004</v>
      </c>
      <c r="G71" s="780" t="s">
        <v>2021</v>
      </c>
      <c r="H71" s="1960" t="s">
        <v>2024</v>
      </c>
      <c r="I71" s="1966" t="s">
        <v>2088</v>
      </c>
      <c r="J71" s="1966"/>
      <c r="K71" s="1966"/>
      <c r="L71" s="1966"/>
    </row>
    <row r="72" spans="1:12" ht="60">
      <c r="B72" s="1955" t="s">
        <v>2041</v>
      </c>
      <c r="E72" s="510" t="s">
        <v>19</v>
      </c>
      <c r="F72" s="510" t="s">
        <v>2005</v>
      </c>
      <c r="G72" s="780" t="s">
        <v>2021</v>
      </c>
      <c r="H72" s="1960" t="s">
        <v>2019</v>
      </c>
      <c r="I72" s="1966" t="s">
        <v>2088</v>
      </c>
      <c r="J72" s="1966"/>
      <c r="K72" s="1966"/>
      <c r="L72" s="1966"/>
    </row>
    <row r="73" spans="1:12" ht="156" customHeight="1">
      <c r="B73" s="1955" t="s">
        <v>2041</v>
      </c>
      <c r="E73" s="510" t="s">
        <v>1994</v>
      </c>
      <c r="F73" s="510" t="s">
        <v>2026</v>
      </c>
      <c r="G73" s="780" t="s">
        <v>2025</v>
      </c>
      <c r="H73" s="1971" t="s">
        <v>2027</v>
      </c>
      <c r="I73" s="1961" t="s">
        <v>2028</v>
      </c>
      <c r="J73" s="1961"/>
      <c r="K73" s="1961"/>
      <c r="L73" s="1961"/>
    </row>
    <row r="74" spans="1:12" ht="160.5" customHeight="1">
      <c r="B74" s="1955" t="s">
        <v>2041</v>
      </c>
      <c r="E74" s="510" t="s">
        <v>19</v>
      </c>
      <c r="F74" s="510" t="s">
        <v>2029</v>
      </c>
      <c r="G74" s="780" t="s">
        <v>2025</v>
      </c>
      <c r="H74" s="1971" t="s">
        <v>2027</v>
      </c>
      <c r="I74" s="1961" t="s">
        <v>2028</v>
      </c>
      <c r="J74" s="1961"/>
      <c r="K74" s="1961"/>
      <c r="L74" s="1961"/>
    </row>
    <row r="75" spans="1:12" ht="17">
      <c r="A75" s="1954">
        <v>44680</v>
      </c>
      <c r="B75" s="1955" t="s">
        <v>2040</v>
      </c>
      <c r="D75" s="1957" t="str">
        <f t="shared" ref="D75:D83" si="11">"V"&amp;RIGHT(YEAR(A75)&amp;IF(MONTH(A75)&lt;10,"0","")&amp;MONTH(A75)&amp;IF(DAY(A75)&lt;10,"0","")&amp;DAY(A75),6)&amp;C75</f>
        <v>V220429</v>
      </c>
      <c r="E75" s="510" t="s">
        <v>2036</v>
      </c>
      <c r="F75" s="510" t="s">
        <v>2055</v>
      </c>
      <c r="G75" s="780" t="s">
        <v>2037</v>
      </c>
      <c r="H75" s="1960" t="s">
        <v>2038</v>
      </c>
      <c r="I75" s="1966"/>
      <c r="J75" s="1966"/>
      <c r="K75" s="1966"/>
      <c r="L75" s="1966"/>
    </row>
    <row r="76" spans="1:12" ht="17">
      <c r="A76" s="1954">
        <v>44680</v>
      </c>
      <c r="B76" s="1955" t="s">
        <v>2040</v>
      </c>
      <c r="D76" s="1957" t="str">
        <f t="shared" si="11"/>
        <v>V220429</v>
      </c>
      <c r="E76" s="510" t="s">
        <v>2036</v>
      </c>
      <c r="F76" s="510" t="s">
        <v>2056</v>
      </c>
      <c r="G76" s="780" t="s">
        <v>2057</v>
      </c>
      <c r="H76" s="1970" t="s">
        <v>2058</v>
      </c>
      <c r="I76" s="1967"/>
      <c r="J76" s="1967"/>
      <c r="K76" s="1967"/>
      <c r="L76" s="1967"/>
    </row>
    <row r="77" spans="1:12" ht="17">
      <c r="A77" s="1954">
        <v>44680</v>
      </c>
      <c r="B77" s="1955" t="s">
        <v>2040</v>
      </c>
      <c r="D77" s="1957" t="str">
        <f t="shared" si="11"/>
        <v>V220429</v>
      </c>
      <c r="E77" s="510" t="s">
        <v>2036</v>
      </c>
      <c r="F77" s="510" t="s">
        <v>2049</v>
      </c>
      <c r="G77" s="780" t="s">
        <v>2050</v>
      </c>
      <c r="H77" s="1960" t="s">
        <v>2051</v>
      </c>
      <c r="I77" s="1966"/>
      <c r="J77" s="1966"/>
      <c r="K77" s="1966"/>
      <c r="L77" s="1966"/>
    </row>
    <row r="78" spans="1:12" ht="42">
      <c r="A78" s="1954">
        <v>44680</v>
      </c>
      <c r="B78" s="1955" t="s">
        <v>2040</v>
      </c>
      <c r="D78" s="1957" t="str">
        <f t="shared" si="11"/>
        <v>V220429</v>
      </c>
      <c r="E78" s="510" t="s">
        <v>2044</v>
      </c>
      <c r="G78" s="780" t="s">
        <v>1941</v>
      </c>
      <c r="H78" s="1960" t="s">
        <v>2045</v>
      </c>
      <c r="I78" s="1966" t="s">
        <v>1725</v>
      </c>
      <c r="J78" s="1966"/>
      <c r="K78" s="1966"/>
      <c r="L78" s="1966"/>
    </row>
    <row r="79" spans="1:12" ht="17">
      <c r="A79" s="1954">
        <v>44685</v>
      </c>
      <c r="B79" s="1955" t="s">
        <v>2040</v>
      </c>
      <c r="D79" s="1957" t="str">
        <f t="shared" si="11"/>
        <v>V220504</v>
      </c>
      <c r="E79" s="510" t="s">
        <v>2036</v>
      </c>
      <c r="F79" s="510" t="s">
        <v>2055</v>
      </c>
      <c r="G79" s="780" t="s">
        <v>2037</v>
      </c>
      <c r="H79" s="1960" t="s">
        <v>2063</v>
      </c>
    </row>
    <row r="80" spans="1:12" ht="34">
      <c r="A80" s="1954">
        <v>44685</v>
      </c>
      <c r="B80" s="1955" t="s">
        <v>2040</v>
      </c>
      <c r="D80" s="1957" t="str">
        <f t="shared" si="11"/>
        <v>V220504</v>
      </c>
      <c r="E80" s="510" t="s">
        <v>2036</v>
      </c>
      <c r="F80" s="780" t="s">
        <v>2066</v>
      </c>
      <c r="G80" s="780" t="s">
        <v>1861</v>
      </c>
      <c r="H80" s="780" t="s">
        <v>2068</v>
      </c>
    </row>
    <row r="81" spans="1:12" ht="17">
      <c r="A81" s="1954">
        <v>44685</v>
      </c>
      <c r="B81" s="1955" t="s">
        <v>2040</v>
      </c>
      <c r="D81" s="1957" t="str">
        <f t="shared" si="11"/>
        <v>V220504</v>
      </c>
      <c r="E81" s="510" t="s">
        <v>2036</v>
      </c>
      <c r="F81" s="510" t="s">
        <v>2067</v>
      </c>
      <c r="G81" s="780" t="s">
        <v>1861</v>
      </c>
      <c r="H81" s="780" t="s">
        <v>2068</v>
      </c>
    </row>
    <row r="82" spans="1:12" ht="17">
      <c r="A82" s="1954">
        <v>44680</v>
      </c>
      <c r="B82" s="1955" t="s">
        <v>2040</v>
      </c>
      <c r="D82" s="1957" t="str">
        <f t="shared" si="11"/>
        <v>V220429</v>
      </c>
      <c r="E82" s="510" t="s">
        <v>2044</v>
      </c>
      <c r="H82" s="780" t="s">
        <v>2075</v>
      </c>
    </row>
    <row r="83" spans="1:12" ht="133">
      <c r="A83" s="1954">
        <v>44741</v>
      </c>
      <c r="B83" s="1955" t="s">
        <v>2040</v>
      </c>
      <c r="D83" s="1957" t="str">
        <f t="shared" si="11"/>
        <v>V220629</v>
      </c>
      <c r="E83" s="510" t="s">
        <v>2036</v>
      </c>
      <c r="H83" s="780" t="s">
        <v>2099</v>
      </c>
      <c r="I83" s="883" t="s">
        <v>2100</v>
      </c>
    </row>
    <row r="84" spans="1:12" ht="17">
      <c r="A84" s="1954">
        <v>44741</v>
      </c>
      <c r="B84" s="1955" t="s">
        <v>2040</v>
      </c>
      <c r="D84" s="1957" t="str">
        <f t="shared" ref="D84" si="12">"V"&amp;RIGHT(YEAR(A84)&amp;IF(MONTH(A84)&lt;10,"0","")&amp;MONTH(A84)&amp;IF(DAY(A84)&lt;10,"0","")&amp;DAY(A84),6)&amp;C84</f>
        <v>V220629</v>
      </c>
      <c r="E84" s="510" t="s">
        <v>2044</v>
      </c>
      <c r="H84" s="780" t="s">
        <v>2101</v>
      </c>
    </row>
    <row r="85" spans="1:12" s="510" customFormat="1" ht="48">
      <c r="A85" s="1954">
        <v>44741</v>
      </c>
      <c r="B85" s="1969" t="s">
        <v>2040</v>
      </c>
      <c r="C85" s="1956"/>
      <c r="D85" s="510" t="str">
        <f t="shared" ref="D85:D87" si="13">"V"&amp;RIGHT(YEAR(A85)&amp;IF(MONTH(A85)&lt;10,"0","")&amp;MONTH(A85)&amp;IF(DAY(A85)&lt;10,"0","")&amp;DAY(A85),6)&amp;C85</f>
        <v>V220629</v>
      </c>
      <c r="E85" s="510" t="s">
        <v>2036</v>
      </c>
      <c r="F85" s="510" t="s">
        <v>2083</v>
      </c>
      <c r="G85" s="780" t="s">
        <v>2084</v>
      </c>
      <c r="H85" s="780" t="s">
        <v>2102</v>
      </c>
      <c r="I85" s="778" t="s">
        <v>2080</v>
      </c>
      <c r="J85" s="778" t="s">
        <v>2079</v>
      </c>
      <c r="K85" s="778" t="s">
        <v>2081</v>
      </c>
      <c r="L85" s="778" t="s">
        <v>2082</v>
      </c>
    </row>
    <row r="86" spans="1:12" ht="85">
      <c r="A86" s="1954">
        <v>44741</v>
      </c>
      <c r="B86" s="1955" t="s">
        <v>2040</v>
      </c>
      <c r="D86" s="1957" t="str">
        <f t="shared" si="13"/>
        <v>V220629</v>
      </c>
      <c r="E86" s="510" t="s">
        <v>2098</v>
      </c>
      <c r="G86" s="780" t="s">
        <v>2103</v>
      </c>
      <c r="H86" s="780" t="s">
        <v>2106</v>
      </c>
    </row>
    <row r="87" spans="1:12" ht="143" customHeight="1">
      <c r="A87" s="1954">
        <v>45218</v>
      </c>
      <c r="D87" s="1957" t="str">
        <f t="shared" si="13"/>
        <v>V231019</v>
      </c>
      <c r="E87" s="510" t="s">
        <v>1622</v>
      </c>
      <c r="F87" s="1957">
        <v>144</v>
      </c>
      <c r="G87" s="780" t="s">
        <v>2107</v>
      </c>
      <c r="H87" s="1972" t="s">
        <v>2126</v>
      </c>
    </row>
    <row r="88" spans="1:12" ht="125" customHeight="1">
      <c r="E88" s="510" t="s">
        <v>1622</v>
      </c>
      <c r="F88" s="1957">
        <v>151</v>
      </c>
      <c r="G88" s="780" t="s">
        <v>2108</v>
      </c>
      <c r="H88" s="1972" t="s">
        <v>2109</v>
      </c>
    </row>
    <row r="89" spans="1:12">
      <c r="E89" s="510" t="s">
        <v>1994</v>
      </c>
      <c r="F89" s="510" t="s">
        <v>2119</v>
      </c>
      <c r="G89" s="831">
        <v>10</v>
      </c>
      <c r="H89" s="1976" t="s">
        <v>2111</v>
      </c>
      <c r="I89" s="1974" t="s">
        <v>1725</v>
      </c>
    </row>
    <row r="90" spans="1:12" ht="60" customHeight="1">
      <c r="G90" s="831">
        <v>10.1</v>
      </c>
      <c r="H90" s="1975" t="s">
        <v>2112</v>
      </c>
    </row>
    <row r="91" spans="1:12" ht="57" customHeight="1">
      <c r="G91" s="831">
        <v>10.199999999999999</v>
      </c>
      <c r="H91" s="1975" t="s">
        <v>2113</v>
      </c>
    </row>
    <row r="92" spans="1:12" ht="41" customHeight="1">
      <c r="G92" s="831">
        <v>10.3</v>
      </c>
      <c r="H92" s="1975" t="s">
        <v>2115</v>
      </c>
    </row>
    <row r="93" spans="1:12" s="1979" customFormat="1" ht="17">
      <c r="A93" s="1954">
        <v>45334</v>
      </c>
      <c r="B93" s="1955"/>
      <c r="C93" s="1956"/>
      <c r="D93" s="1957"/>
      <c r="E93" s="510" t="s">
        <v>1994</v>
      </c>
      <c r="F93" s="510"/>
      <c r="G93" s="831">
        <v>151</v>
      </c>
      <c r="H93" s="1977" t="s">
        <v>2128</v>
      </c>
      <c r="I93" s="1978"/>
      <c r="J93" s="1978"/>
      <c r="K93" s="1978"/>
      <c r="L93" s="1978"/>
    </row>
    <row r="94" spans="1:12" ht="17">
      <c r="A94" s="1954">
        <v>45334</v>
      </c>
      <c r="E94" s="510" t="s">
        <v>2129</v>
      </c>
      <c r="G94" s="780" t="s">
        <v>2130</v>
      </c>
      <c r="H94" s="1977" t="s">
        <v>2131</v>
      </c>
    </row>
    <row r="95" spans="1:12" ht="17">
      <c r="A95" s="1954">
        <v>45354</v>
      </c>
      <c r="E95" s="510" t="s">
        <v>3</v>
      </c>
      <c r="H95" s="780" t="s">
        <v>2132</v>
      </c>
    </row>
    <row r="96" spans="1:12" ht="34">
      <c r="A96" s="1954">
        <v>45376</v>
      </c>
      <c r="B96" s="1955" t="s">
        <v>2040</v>
      </c>
      <c r="E96" s="510" t="s">
        <v>2036</v>
      </c>
      <c r="G96" s="780" t="s">
        <v>2130</v>
      </c>
      <c r="H96" s="780" t="s">
        <v>2143</v>
      </c>
    </row>
    <row r="97" spans="1:8" ht="34">
      <c r="A97" s="1954">
        <v>45376</v>
      </c>
      <c r="B97" s="1955" t="s">
        <v>2040</v>
      </c>
      <c r="E97" s="510" t="s">
        <v>1191</v>
      </c>
      <c r="F97" s="510" t="s">
        <v>2141</v>
      </c>
      <c r="G97" s="780" t="s">
        <v>2133</v>
      </c>
      <c r="H97" s="780" t="s">
        <v>2135</v>
      </c>
    </row>
    <row r="98" spans="1:8" ht="34">
      <c r="A98" s="1954">
        <f>A97</f>
        <v>45376</v>
      </c>
      <c r="B98" s="1955" t="s">
        <v>2040</v>
      </c>
      <c r="E98" s="510" t="str">
        <f>E97</f>
        <v>1 Antrag</v>
      </c>
      <c r="F98" s="510" t="s">
        <v>2140</v>
      </c>
      <c r="H98" s="780" t="s">
        <v>2142</v>
      </c>
    </row>
    <row r="99" spans="1:8" ht="219" customHeight="1">
      <c r="A99" s="1954">
        <v>45391</v>
      </c>
      <c r="B99" s="1955" t="s">
        <v>2144</v>
      </c>
      <c r="E99" s="510" t="s">
        <v>1994</v>
      </c>
      <c r="F99" s="510" t="s">
        <v>2147</v>
      </c>
      <c r="G99" s="780" t="s">
        <v>2145</v>
      </c>
      <c r="H99" s="780" t="s">
        <v>2146</v>
      </c>
    </row>
    <row r="100" spans="1:8" ht="230" customHeight="1">
      <c r="A100" s="1954">
        <v>45391</v>
      </c>
      <c r="B100" s="1955" t="s">
        <v>2144</v>
      </c>
      <c r="E100" s="510" t="s">
        <v>2150</v>
      </c>
      <c r="F100" s="510" t="s">
        <v>2151</v>
      </c>
      <c r="G100" s="780" t="s">
        <v>2152</v>
      </c>
      <c r="H100" s="780" t="s">
        <v>2153</v>
      </c>
    </row>
    <row r="101" spans="1:8" ht="17">
      <c r="A101" s="1954">
        <v>45391</v>
      </c>
      <c r="B101" s="1955" t="s">
        <v>2040</v>
      </c>
      <c r="E101" s="510" t="s">
        <v>2155</v>
      </c>
      <c r="H101" s="780" t="s">
        <v>2154</v>
      </c>
    </row>
    <row r="102" spans="1:8" ht="17">
      <c r="A102" s="1954">
        <v>45392</v>
      </c>
      <c r="B102" s="1955" t="s">
        <v>2040</v>
      </c>
      <c r="E102" s="510" t="s">
        <v>2156</v>
      </c>
      <c r="H102" s="780" t="s">
        <v>2154</v>
      </c>
    </row>
    <row r="103" spans="1:8" ht="34">
      <c r="A103" s="1954">
        <v>45481</v>
      </c>
      <c r="B103" s="1955" t="s">
        <v>2040</v>
      </c>
      <c r="E103" s="510" t="s">
        <v>1191</v>
      </c>
      <c r="F103" s="510" t="s">
        <v>2158</v>
      </c>
      <c r="G103" s="510" t="s">
        <v>2157</v>
      </c>
      <c r="H103" s="780" t="s">
        <v>2159</v>
      </c>
    </row>
    <row r="104" spans="1:8" ht="17">
      <c r="A104" s="1954">
        <v>45481</v>
      </c>
      <c r="B104" s="1955" t="s">
        <v>2040</v>
      </c>
      <c r="E104" s="510" t="s">
        <v>1191</v>
      </c>
      <c r="F104" s="510" t="s">
        <v>2164</v>
      </c>
      <c r="G104" s="780" t="s">
        <v>2157</v>
      </c>
      <c r="H104" s="780" t="s">
        <v>2165</v>
      </c>
    </row>
    <row r="105" spans="1:8" ht="34">
      <c r="A105" s="1954">
        <v>45481</v>
      </c>
      <c r="B105" s="1955" t="s">
        <v>2040</v>
      </c>
      <c r="E105" s="510" t="s">
        <v>1635</v>
      </c>
      <c r="F105" s="510" t="s">
        <v>2174</v>
      </c>
      <c r="G105" s="780" t="s">
        <v>2177</v>
      </c>
      <c r="H105" s="780" t="s">
        <v>2175</v>
      </c>
    </row>
    <row r="106" spans="1:8" ht="34">
      <c r="A106" s="1954">
        <v>45481</v>
      </c>
      <c r="B106" s="1955" t="s">
        <v>2040</v>
      </c>
      <c r="E106" s="510" t="s">
        <v>1635</v>
      </c>
      <c r="F106" s="510" t="s">
        <v>2026</v>
      </c>
      <c r="G106" s="780" t="s">
        <v>2176</v>
      </c>
      <c r="H106" s="780" t="s">
        <v>2175</v>
      </c>
    </row>
    <row r="107" spans="1:8" ht="17">
      <c r="A107" s="1954">
        <v>45631</v>
      </c>
      <c r="B107" s="1955" t="s">
        <v>2040</v>
      </c>
      <c r="E107" s="510" t="s">
        <v>2181</v>
      </c>
      <c r="G107" s="780" t="s">
        <v>2215</v>
      </c>
      <c r="H107" s="780" t="s">
        <v>2216</v>
      </c>
    </row>
    <row r="108" spans="1:8" ht="17">
      <c r="A108" s="1954">
        <v>45631</v>
      </c>
      <c r="B108" s="1955" t="s">
        <v>2040</v>
      </c>
      <c r="E108" s="510" t="s">
        <v>2210</v>
      </c>
      <c r="G108" s="780" t="s">
        <v>2211</v>
      </c>
    </row>
    <row r="109" spans="1:8" ht="32" customHeight="1">
      <c r="A109" s="1954">
        <v>45631</v>
      </c>
      <c r="B109" s="1955" t="s">
        <v>2040</v>
      </c>
      <c r="E109" s="510" t="s">
        <v>2212</v>
      </c>
      <c r="G109" s="780" t="s">
        <v>2213</v>
      </c>
      <c r="H109" s="780" t="s">
        <v>2214</v>
      </c>
    </row>
    <row r="110" spans="1:8" ht="17">
      <c r="A110" s="1954">
        <v>45635</v>
      </c>
      <c r="B110" s="1955" t="s">
        <v>2040</v>
      </c>
      <c r="E110" s="510" t="s">
        <v>1191</v>
      </c>
      <c r="F110" s="510" t="s">
        <v>2544</v>
      </c>
      <c r="G110" s="780" t="s">
        <v>2217</v>
      </c>
      <c r="H110" s="780" t="s">
        <v>2218</v>
      </c>
    </row>
    <row r="111" spans="1:8" ht="17">
      <c r="A111" s="1954">
        <v>45644</v>
      </c>
      <c r="B111" s="1955" t="s">
        <v>2040</v>
      </c>
      <c r="E111" s="510" t="s">
        <v>1485</v>
      </c>
      <c r="G111" s="780" t="s">
        <v>2504</v>
      </c>
    </row>
    <row r="112" spans="1:8" ht="17">
      <c r="A112" s="1954">
        <v>45644</v>
      </c>
      <c r="B112" s="1955" t="s">
        <v>2040</v>
      </c>
      <c r="E112" s="510" t="s">
        <v>2508</v>
      </c>
      <c r="G112" s="780" t="s">
        <v>2509</v>
      </c>
      <c r="H112" s="780" t="s">
        <v>2510</v>
      </c>
    </row>
    <row r="113" spans="1:8" ht="17">
      <c r="A113" s="1954">
        <v>45644</v>
      </c>
      <c r="B113" s="1955" t="s">
        <v>2040</v>
      </c>
      <c r="E113" s="510" t="s">
        <v>2511</v>
      </c>
      <c r="G113" s="780" t="s">
        <v>2512</v>
      </c>
      <c r="H113" s="780" t="s">
        <v>2513</v>
      </c>
    </row>
    <row r="114" spans="1:8" ht="17">
      <c r="A114" s="1954">
        <v>45663</v>
      </c>
      <c r="B114" s="1955" t="s">
        <v>2040</v>
      </c>
      <c r="E114" s="510" t="s">
        <v>2505</v>
      </c>
      <c r="G114" s="780" t="s">
        <v>2506</v>
      </c>
      <c r="H114" s="780" t="s">
        <v>2507</v>
      </c>
    </row>
    <row r="115" spans="1:8" ht="17">
      <c r="A115" s="1954">
        <v>45663</v>
      </c>
      <c r="B115" s="1955" t="s">
        <v>2040</v>
      </c>
      <c r="E115" s="510" t="s">
        <v>2044</v>
      </c>
      <c r="G115" s="780" t="s">
        <v>2514</v>
      </c>
      <c r="H115" s="780" t="s">
        <v>2515</v>
      </c>
    </row>
    <row r="116" spans="1:8" ht="17">
      <c r="A116" s="1954">
        <v>45700</v>
      </c>
      <c r="B116" s="1955" t="s">
        <v>2040</v>
      </c>
      <c r="E116" s="510" t="s">
        <v>2044</v>
      </c>
      <c r="F116" s="510" t="s">
        <v>2527</v>
      </c>
      <c r="G116" s="780" t="s">
        <v>1861</v>
      </c>
      <c r="H116" s="780" t="s">
        <v>2528</v>
      </c>
    </row>
    <row r="117" spans="1:8" ht="17">
      <c r="A117" s="1954">
        <v>45700</v>
      </c>
      <c r="B117" s="1955" t="s">
        <v>2040</v>
      </c>
      <c r="E117" s="510" t="s">
        <v>2036</v>
      </c>
      <c r="F117" s="510" t="s">
        <v>2529</v>
      </c>
      <c r="G117" s="780" t="s">
        <v>1861</v>
      </c>
      <c r="H117" s="780" t="s">
        <v>2530</v>
      </c>
    </row>
    <row r="118" spans="1:8" ht="17">
      <c r="A118" s="1954">
        <v>45700</v>
      </c>
      <c r="B118" s="1955" t="s">
        <v>2040</v>
      </c>
      <c r="E118" s="510" t="s">
        <v>2036</v>
      </c>
      <c r="F118" s="510" t="s">
        <v>2533</v>
      </c>
      <c r="G118" s="780" t="s">
        <v>1861</v>
      </c>
      <c r="H118" s="780" t="s">
        <v>2534</v>
      </c>
    </row>
    <row r="119" spans="1:8" ht="17">
      <c r="A119" s="1954">
        <v>45700</v>
      </c>
      <c r="B119" s="1955" t="s">
        <v>2040</v>
      </c>
      <c r="E119" s="510" t="s">
        <v>2511</v>
      </c>
      <c r="G119" s="780" t="s">
        <v>2535</v>
      </c>
      <c r="H119" s="780" t="s">
        <v>2536</v>
      </c>
    </row>
    <row r="120" spans="1:8" ht="17">
      <c r="A120" s="1954">
        <v>45712</v>
      </c>
      <c r="B120" s="1955" t="s">
        <v>2040</v>
      </c>
      <c r="E120" s="510" t="s">
        <v>2044</v>
      </c>
      <c r="F120" s="510" t="s">
        <v>2545</v>
      </c>
      <c r="G120" s="780" t="s">
        <v>2546</v>
      </c>
      <c r="H120" s="780" t="s">
        <v>2547</v>
      </c>
    </row>
    <row r="121" spans="1:8" ht="17">
      <c r="A121" s="1954">
        <v>45793</v>
      </c>
      <c r="B121" s="1955" t="s">
        <v>2040</v>
      </c>
      <c r="E121" s="510" t="s">
        <v>2511</v>
      </c>
      <c r="G121" s="780" t="s">
        <v>1548</v>
      </c>
    </row>
    <row r="122" spans="1:8" ht="17">
      <c r="A122" s="1954">
        <v>45793</v>
      </c>
      <c r="B122" s="1955" t="s">
        <v>2040</v>
      </c>
      <c r="E122" s="510" t="s">
        <v>1380</v>
      </c>
      <c r="G122" s="780" t="s">
        <v>2583</v>
      </c>
      <c r="H122" s="780" t="s">
        <v>2553</v>
      </c>
    </row>
    <row r="123" spans="1:8" ht="17">
      <c r="A123" s="1954">
        <v>45793</v>
      </c>
      <c r="B123" s="1955" t="s">
        <v>2040</v>
      </c>
      <c r="E123" s="510" t="s">
        <v>2560</v>
      </c>
      <c r="G123" s="780" t="s">
        <v>2586</v>
      </c>
      <c r="H123" s="780" t="s">
        <v>2587</v>
      </c>
    </row>
    <row r="124" spans="1:8" ht="17">
      <c r="A124" s="1954">
        <v>45840</v>
      </c>
      <c r="B124" s="1955" t="s">
        <v>2040</v>
      </c>
      <c r="E124" s="510" t="s">
        <v>2602</v>
      </c>
      <c r="G124" s="780" t="s">
        <v>1892</v>
      </c>
      <c r="H124" s="780" t="s">
        <v>2593</v>
      </c>
    </row>
    <row r="125" spans="1:8" ht="17">
      <c r="A125" s="1954">
        <v>45929</v>
      </c>
      <c r="B125" s="1955" t="s">
        <v>2040</v>
      </c>
      <c r="E125" s="510" t="s">
        <v>2155</v>
      </c>
      <c r="F125" s="510" t="s">
        <v>2603</v>
      </c>
      <c r="G125" s="780" t="s">
        <v>2604</v>
      </c>
      <c r="H125" s="780" t="s">
        <v>2605</v>
      </c>
    </row>
    <row r="126" spans="1:8">
      <c r="A126" s="1954">
        <v>45929</v>
      </c>
      <c r="B126" s="1955" t="s">
        <v>2040</v>
      </c>
    </row>
  </sheetData>
  <phoneticPr fontId="59" type="noConversion"/>
  <pageMargins left="0.70866141732283472" right="0.70866141732283472" top="0.74803149606299213" bottom="0.74803149606299213" header="0.31496062992125984" footer="0.31496062992125984"/>
  <pageSetup paperSize="9" scale="73" fitToHeight="0" orientation="landscape" r:id="rId1"/>
  <legacy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
  <dimension ref="A1:AF98"/>
  <sheetViews>
    <sheetView workbookViewId="0">
      <selection activeCell="I20" sqref="I20"/>
    </sheetView>
  </sheetViews>
  <sheetFormatPr baseColWidth="10" defaultRowHeight="16"/>
  <cols>
    <col min="1" max="2" width="13.33203125" style="2067" customWidth="1"/>
    <col min="3" max="3" width="12.33203125" style="2067" customWidth="1"/>
    <col min="5" max="5" width="10.83203125" style="270"/>
    <col min="8" max="8" width="10.83203125" style="464"/>
    <col min="9" max="9" width="28.1640625" customWidth="1"/>
    <col min="10" max="10" width="12.1640625" customWidth="1"/>
    <col min="12" max="12" width="11" style="883"/>
    <col min="13" max="13" width="7.83203125" style="2083" customWidth="1"/>
    <col min="16" max="19" width="6.5" style="2071" customWidth="1"/>
    <col min="20" max="20" width="36.6640625" style="1736" customWidth="1"/>
    <col min="21" max="21" width="36" style="2079" customWidth="1"/>
    <col min="22" max="22" width="4.1640625" style="2106" customWidth="1"/>
    <col min="23" max="23" width="6.83203125" style="807" customWidth="1"/>
    <col min="24" max="25" width="8.1640625" style="1654" customWidth="1"/>
    <col min="26" max="26" width="4.33203125" style="2099" customWidth="1"/>
    <col min="27" max="27" width="29.83203125" style="776" customWidth="1"/>
    <col min="28" max="28" width="6.6640625" customWidth="1"/>
    <col min="29" max="29" width="20.83203125" style="163" customWidth="1"/>
    <col min="30" max="30" width="17.1640625" style="2083" customWidth="1"/>
    <col min="31" max="32" width="11" style="2083"/>
  </cols>
  <sheetData>
    <row r="1" spans="1:32" s="180" customFormat="1" ht="50" customHeight="1" thickBot="1">
      <c r="A1" s="2066" t="s">
        <v>429</v>
      </c>
      <c r="B1" s="2066" t="s">
        <v>459</v>
      </c>
      <c r="C1" s="2066" t="s">
        <v>460</v>
      </c>
      <c r="E1" s="269" t="s">
        <v>750</v>
      </c>
      <c r="F1" s="180" t="s">
        <v>443</v>
      </c>
      <c r="G1" s="180" t="s">
        <v>456</v>
      </c>
      <c r="H1" s="463" t="s">
        <v>787</v>
      </c>
      <c r="I1" s="180" t="s">
        <v>855</v>
      </c>
      <c r="J1" s="875" t="s">
        <v>1109</v>
      </c>
      <c r="L1" s="2075" t="s">
        <v>2232</v>
      </c>
      <c r="M1" s="2088" t="s">
        <v>2375</v>
      </c>
      <c r="N1" s="2072" t="s">
        <v>2228</v>
      </c>
      <c r="O1" s="2072" t="s">
        <v>2229</v>
      </c>
      <c r="P1" s="2077" t="s">
        <v>2230</v>
      </c>
      <c r="Q1" s="2077" t="s">
        <v>2231</v>
      </c>
      <c r="R1" s="2077" t="s">
        <v>2232</v>
      </c>
      <c r="S1" s="2077" t="s">
        <v>2233</v>
      </c>
      <c r="T1" s="2084" t="s">
        <v>2234</v>
      </c>
      <c r="U1" s="2081" t="s">
        <v>2492</v>
      </c>
      <c r="V1" s="2100" t="s">
        <v>2376</v>
      </c>
      <c r="W1" s="2101" t="s">
        <v>1674</v>
      </c>
      <c r="X1" s="2102" t="s">
        <v>2377</v>
      </c>
      <c r="Y1" s="2102" t="s">
        <v>2378</v>
      </c>
      <c r="Z1" s="2097" t="s">
        <v>2379</v>
      </c>
      <c r="AA1" s="2073" t="s">
        <v>2380</v>
      </c>
      <c r="AC1" s="2092" t="s">
        <v>2494</v>
      </c>
      <c r="AD1" s="2090" t="s">
        <v>2493</v>
      </c>
      <c r="AE1" s="2090" t="str">
        <f t="shared" ref="AE1:AE27" si="0">U1</f>
        <v>Fachausbildung</v>
      </c>
      <c r="AF1" s="2090" t="str">
        <f>AA1</f>
        <v>Email</v>
      </c>
    </row>
    <row r="2" spans="1:32" ht="30" customHeight="1">
      <c r="A2" s="2067" t="s">
        <v>389</v>
      </c>
      <c r="B2" s="2068" t="s">
        <v>390</v>
      </c>
      <c r="C2" s="2068" t="s">
        <v>422</v>
      </c>
      <c r="E2" s="270">
        <v>0</v>
      </c>
      <c r="F2" t="s">
        <v>442</v>
      </c>
      <c r="G2" t="s">
        <v>457</v>
      </c>
      <c r="H2" s="464" t="s">
        <v>788</v>
      </c>
      <c r="I2" t="s">
        <v>2227</v>
      </c>
      <c r="J2" s="876">
        <v>0.8</v>
      </c>
      <c r="L2" s="2076" t="s">
        <v>2381</v>
      </c>
      <c r="M2" s="2089" t="s">
        <v>2382</v>
      </c>
      <c r="N2" s="1945" t="s">
        <v>2235</v>
      </c>
      <c r="O2" s="1945" t="s">
        <v>2236</v>
      </c>
      <c r="P2" s="2078" t="s">
        <v>2237</v>
      </c>
      <c r="Q2" s="2078" t="s">
        <v>2238</v>
      </c>
      <c r="R2" s="2078" t="s">
        <v>2239</v>
      </c>
      <c r="S2" s="2078" t="s">
        <v>2240</v>
      </c>
      <c r="T2" s="2085" t="s">
        <v>2241</v>
      </c>
      <c r="U2" s="2082" t="s">
        <v>2227</v>
      </c>
      <c r="V2" s="2103">
        <v>9007</v>
      </c>
      <c r="W2" s="2104" t="s">
        <v>2383</v>
      </c>
      <c r="X2" s="2105" t="s">
        <v>2384</v>
      </c>
      <c r="Y2" s="2105" t="s">
        <v>2385</v>
      </c>
      <c r="Z2" s="2098" t="s">
        <v>2386</v>
      </c>
      <c r="AA2" s="2074" t="s">
        <v>2387</v>
      </c>
      <c r="AC2" s="2093" t="str">
        <f>N2 &amp;" " &amp;O2</f>
        <v>Miodrag  Filipovic</v>
      </c>
      <c r="AD2" s="2091" t="str">
        <f>T2</f>
        <v>Chefarzt, Klinik für Operative Intensivmedizin KOIM, Kantontsspital St. Gallen</v>
      </c>
      <c r="AE2" s="2091" t="str">
        <f t="shared" si="0"/>
        <v>Facharzt/ärztin Intensivmedizin</v>
      </c>
      <c r="AF2" s="2091" t="str">
        <f>AA2</f>
        <v>miodrag@filipovice@kssg.ch</v>
      </c>
    </row>
    <row r="3" spans="1:32" ht="30" customHeight="1">
      <c r="A3" s="2067" t="s">
        <v>383</v>
      </c>
      <c r="B3" s="2068" t="s">
        <v>384</v>
      </c>
      <c r="C3" s="2068" t="s">
        <v>419</v>
      </c>
      <c r="E3" s="270">
        <v>1</v>
      </c>
      <c r="F3" t="s">
        <v>444</v>
      </c>
      <c r="G3" t="s">
        <v>458</v>
      </c>
      <c r="I3" t="s">
        <v>856</v>
      </c>
      <c r="J3" s="876">
        <v>1.2</v>
      </c>
      <c r="L3" s="2076" t="s">
        <v>2388</v>
      </c>
      <c r="M3" s="2089" t="s">
        <v>2389</v>
      </c>
      <c r="N3" s="1945" t="s">
        <v>2242</v>
      </c>
      <c r="O3" s="1945" t="s">
        <v>2243</v>
      </c>
      <c r="P3" s="2078" t="s">
        <v>2244</v>
      </c>
      <c r="Q3" s="2078"/>
      <c r="R3" s="2078" t="s">
        <v>2245</v>
      </c>
      <c r="S3" s="2078" t="s">
        <v>2246</v>
      </c>
      <c r="T3" s="2085" t="s">
        <v>2247</v>
      </c>
      <c r="U3" s="2082" t="s">
        <v>2227</v>
      </c>
      <c r="V3" s="2103" t="s">
        <v>1725</v>
      </c>
      <c r="W3" s="2104" t="s">
        <v>2390</v>
      </c>
      <c r="X3" s="2105" t="s">
        <v>2391</v>
      </c>
      <c r="Y3" s="2105" t="s">
        <v>1725</v>
      </c>
      <c r="Z3" s="2098" t="s">
        <v>2392</v>
      </c>
      <c r="AA3" s="2074" t="s">
        <v>2393</v>
      </c>
      <c r="AC3" s="2093" t="str">
        <f t="shared" ref="AC3:AC27" si="1">N3 &amp;" " &amp;O3</f>
        <v>Hans Pargger</v>
      </c>
      <c r="AD3" s="2091" t="str">
        <f t="shared" ref="AD3:AD27" si="2">T3</f>
        <v>Chefarzt Intensivmedizin aD, Universitätsspital Basel</v>
      </c>
      <c r="AE3" s="2091" t="str">
        <f t="shared" si="0"/>
        <v>Facharzt/ärztin Intensivmedizin</v>
      </c>
      <c r="AF3" s="2091" t="str">
        <f t="shared" ref="AF3:AF27" si="3">AA3</f>
        <v>hans.pargger@unibas.ch</v>
      </c>
    </row>
    <row r="4" spans="1:32" ht="30" customHeight="1">
      <c r="A4" s="2067" t="s">
        <v>381</v>
      </c>
      <c r="B4" s="2068" t="s">
        <v>382</v>
      </c>
      <c r="C4" s="2068" t="s">
        <v>418</v>
      </c>
      <c r="E4" s="270">
        <v>2</v>
      </c>
      <c r="I4" t="s">
        <v>857</v>
      </c>
      <c r="J4" s="876">
        <v>1.6</v>
      </c>
      <c r="L4" s="2076"/>
      <c r="M4" s="2089" t="s">
        <v>2394</v>
      </c>
      <c r="N4" s="1945" t="s">
        <v>2248</v>
      </c>
      <c r="O4" s="1945" t="s">
        <v>2249</v>
      </c>
      <c r="P4" s="2078" t="s">
        <v>2250</v>
      </c>
      <c r="Q4" s="2078" t="s">
        <v>2251</v>
      </c>
      <c r="R4" s="2078" t="s">
        <v>2252</v>
      </c>
      <c r="S4" s="2078" t="s">
        <v>2253</v>
      </c>
      <c r="T4" s="2085" t="s">
        <v>2254</v>
      </c>
      <c r="U4" s="2082" t="s">
        <v>2227</v>
      </c>
      <c r="V4" s="2103">
        <v>8091</v>
      </c>
      <c r="W4" s="2104" t="s">
        <v>2395</v>
      </c>
      <c r="X4" s="2105" t="s">
        <v>2396</v>
      </c>
      <c r="Y4" s="2105" t="s">
        <v>2397</v>
      </c>
      <c r="Z4" s="2098" t="s">
        <v>2398</v>
      </c>
      <c r="AA4" s="2074" t="s">
        <v>2399</v>
      </c>
      <c r="AC4" s="2093" t="str">
        <f t="shared" si="1"/>
        <v>Vincenzo Cannizzaro</v>
      </c>
      <c r="AD4" s="2091" t="str">
        <f t="shared" si="2"/>
        <v>Leitender Arzt, Klinik für Neonatologie, Universitätsspital Zürich</v>
      </c>
      <c r="AE4" s="2091" t="str">
        <f t="shared" si="0"/>
        <v>Facharzt/ärztin Intensivmedizin</v>
      </c>
      <c r="AF4" s="2091" t="str">
        <f t="shared" si="3"/>
        <v>vincenzo.cannizzaro@usz.ch</v>
      </c>
    </row>
    <row r="5" spans="1:32" ht="30" customHeight="1">
      <c r="A5" s="2067" t="s">
        <v>355</v>
      </c>
      <c r="B5" s="2068" t="s">
        <v>356</v>
      </c>
      <c r="C5" s="2068" t="s">
        <v>406</v>
      </c>
      <c r="I5" t="s">
        <v>858</v>
      </c>
      <c r="L5" s="2076" t="s">
        <v>2400</v>
      </c>
      <c r="M5" s="2089"/>
      <c r="N5" s="1945" t="s">
        <v>2255</v>
      </c>
      <c r="O5" s="1945" t="s">
        <v>2256</v>
      </c>
      <c r="P5" s="2078" t="s">
        <v>2257</v>
      </c>
      <c r="Q5" s="2078" t="s">
        <v>2258</v>
      </c>
      <c r="R5" s="2078" t="s">
        <v>2259</v>
      </c>
      <c r="S5" s="2078" t="s">
        <v>2260</v>
      </c>
      <c r="T5" s="2085" t="s">
        <v>2261</v>
      </c>
      <c r="U5" s="2082" t="s">
        <v>858</v>
      </c>
      <c r="V5" s="2103">
        <v>1205</v>
      </c>
      <c r="W5" s="2104" t="s">
        <v>2401</v>
      </c>
      <c r="X5" s="2105" t="s">
        <v>2402</v>
      </c>
      <c r="Y5" s="2105" t="s">
        <v>2403</v>
      </c>
      <c r="Z5" s="2098" t="s">
        <v>2404</v>
      </c>
      <c r="AA5" s="2074" t="s">
        <v>2405</v>
      </c>
      <c r="AC5" s="2093" t="str">
        <f t="shared" si="1"/>
        <v>Margrit Cohen</v>
      </c>
      <c r="AD5" s="2091" t="str">
        <f t="shared" si="2"/>
        <v>Chargée de formation en SI adultes, Secteur Formation, Hôpitaux Universitaire de Genève</v>
      </c>
      <c r="AE5" s="2091" t="str">
        <f t="shared" si="0"/>
        <v>Expert(e) en Soins Intensifs</v>
      </c>
      <c r="AF5" s="2091" t="str">
        <f t="shared" si="3"/>
        <v>margrit.cohen@hcuge.ch</v>
      </c>
    </row>
    <row r="6" spans="1:32" ht="30" customHeight="1">
      <c r="A6" s="2067" t="s">
        <v>377</v>
      </c>
      <c r="B6" s="2068" t="s">
        <v>378</v>
      </c>
      <c r="C6" s="2068" t="s">
        <v>416</v>
      </c>
      <c r="I6" t="s">
        <v>1840</v>
      </c>
      <c r="L6" s="2076"/>
      <c r="M6" s="2089" t="s">
        <v>2406</v>
      </c>
      <c r="N6" s="1945" t="s">
        <v>2262</v>
      </c>
      <c r="O6" s="1945" t="s">
        <v>2263</v>
      </c>
      <c r="P6" s="2078" t="s">
        <v>2264</v>
      </c>
      <c r="Q6" s="2078" t="s">
        <v>2265</v>
      </c>
      <c r="R6" s="2078" t="s">
        <v>2266</v>
      </c>
      <c r="S6" s="2078" t="s">
        <v>2267</v>
      </c>
      <c r="T6" s="2085" t="s">
        <v>2268</v>
      </c>
      <c r="U6" s="2082" t="s">
        <v>856</v>
      </c>
      <c r="V6" s="2103">
        <v>2000</v>
      </c>
      <c r="W6" s="2104" t="s">
        <v>426</v>
      </c>
      <c r="X6" s="2105" t="s">
        <v>2407</v>
      </c>
      <c r="Y6" s="2105" t="s">
        <v>2408</v>
      </c>
      <c r="Z6" s="2098" t="s">
        <v>2409</v>
      </c>
      <c r="AA6" s="2074" t="s">
        <v>2410</v>
      </c>
      <c r="AC6" s="2093" t="str">
        <f t="shared" si="1"/>
        <v>Dumeng Décosterd</v>
      </c>
      <c r="AD6" s="2091" t="str">
        <f t="shared" si="2"/>
        <v xml:space="preserve">Médecin chef de service, Service des soins intensifs, Hôpital Neuchâtel </v>
      </c>
      <c r="AE6" s="2091" t="str">
        <f t="shared" si="0"/>
        <v>Spécialiste Médecine Intensive</v>
      </c>
      <c r="AF6" s="2091" t="str">
        <f t="shared" si="3"/>
        <v>dumeng.decosterd@rhne.ch</v>
      </c>
    </row>
    <row r="7" spans="1:32" ht="30" customHeight="1">
      <c r="A7" s="2067" t="s">
        <v>375</v>
      </c>
      <c r="B7" s="2068" t="s">
        <v>376</v>
      </c>
      <c r="C7" s="2068" t="s">
        <v>415</v>
      </c>
      <c r="L7" s="2076" t="s">
        <v>2411</v>
      </c>
      <c r="M7" s="2089"/>
      <c r="N7" s="1945" t="s">
        <v>2269</v>
      </c>
      <c r="O7" s="1945" t="s">
        <v>2270</v>
      </c>
      <c r="P7" s="2078" t="s">
        <v>2271</v>
      </c>
      <c r="Q7" s="2078" t="s">
        <v>2272</v>
      </c>
      <c r="R7" s="2078" t="s">
        <v>2273</v>
      </c>
      <c r="S7" s="2078" t="s">
        <v>2274</v>
      </c>
      <c r="T7" s="2085" t="s">
        <v>2275</v>
      </c>
      <c r="U7" s="2082" t="s">
        <v>857</v>
      </c>
      <c r="V7" s="2103">
        <v>9006</v>
      </c>
      <c r="W7" s="2104" t="s">
        <v>2383</v>
      </c>
      <c r="X7" s="2105" t="s">
        <v>2412</v>
      </c>
      <c r="Y7" s="2105" t="s">
        <v>2413</v>
      </c>
      <c r="Z7" s="2098" t="s">
        <v>2414</v>
      </c>
      <c r="AA7" s="2074" t="s">
        <v>2415</v>
      </c>
      <c r="AC7" s="2093" t="str">
        <f t="shared" si="1"/>
        <v>Ruth Dutler</v>
      </c>
      <c r="AD7" s="2091" t="str">
        <f t="shared" si="2"/>
        <v xml:space="preserve">Stationsleiterin Intensivpflege, Pflege und Betreuung, Ostschweizer Kinderspital, St. Gallen </v>
      </c>
      <c r="AE7" s="2091" t="str">
        <f t="shared" si="0"/>
        <v>Experte/in Intensivpflege</v>
      </c>
      <c r="AF7" s="2091" t="str">
        <f t="shared" si="3"/>
        <v>RuthJohanna.Dutler-Widmer@kispisg.ch</v>
      </c>
    </row>
    <row r="8" spans="1:32" ht="30" customHeight="1">
      <c r="A8" s="2067" t="s">
        <v>371</v>
      </c>
      <c r="B8" s="2068" t="s">
        <v>372</v>
      </c>
      <c r="C8" s="2068" t="s">
        <v>413</v>
      </c>
      <c r="L8" s="2076" t="s">
        <v>2416</v>
      </c>
      <c r="M8" s="2089" t="s">
        <v>2406</v>
      </c>
      <c r="N8" s="1945" t="s">
        <v>2276</v>
      </c>
      <c r="O8" s="1945" t="s">
        <v>2277</v>
      </c>
      <c r="P8" s="2078" t="s">
        <v>2278</v>
      </c>
      <c r="Q8" s="2078" t="s">
        <v>2279</v>
      </c>
      <c r="R8" s="2078" t="s">
        <v>2280</v>
      </c>
      <c r="S8" s="2078" t="s">
        <v>2281</v>
      </c>
      <c r="T8" s="2085" t="s">
        <v>2282</v>
      </c>
      <c r="U8" s="2082" t="s">
        <v>2227</v>
      </c>
      <c r="V8" s="2103">
        <v>5630</v>
      </c>
      <c r="W8" s="2104" t="s">
        <v>2417</v>
      </c>
      <c r="X8" s="2105" t="s">
        <v>2418</v>
      </c>
      <c r="Y8" s="2105" t="s">
        <v>2419</v>
      </c>
      <c r="Z8" s="2098" t="s">
        <v>2420</v>
      </c>
      <c r="AA8" s="2074" t="s">
        <v>2421</v>
      </c>
      <c r="AC8" s="2093" t="str">
        <f t="shared" si="1"/>
        <v>Rolf Ensner</v>
      </c>
      <c r="AD8" s="2091" t="str">
        <f t="shared" si="2"/>
        <v xml:space="preserve">Leitung Intensivstation, Spital Muri </v>
      </c>
      <c r="AE8" s="2091" t="str">
        <f t="shared" si="0"/>
        <v>Facharzt/ärztin Intensivmedizin</v>
      </c>
      <c r="AF8" s="2091" t="str">
        <f t="shared" si="3"/>
        <v>Rolf.Ensner@spital-muri.ch</v>
      </c>
    </row>
    <row r="9" spans="1:32" ht="30" customHeight="1">
      <c r="A9" s="2067" t="s">
        <v>401</v>
      </c>
      <c r="B9" s="2068" t="s">
        <v>402</v>
      </c>
      <c r="C9" s="2068" t="s">
        <v>427</v>
      </c>
      <c r="L9" s="2076"/>
      <c r="M9" s="2089" t="s">
        <v>2422</v>
      </c>
      <c r="N9" s="1945" t="s">
        <v>2283</v>
      </c>
      <c r="O9" s="1945" t="s">
        <v>2284</v>
      </c>
      <c r="P9" s="2078" t="s">
        <v>2285</v>
      </c>
      <c r="Q9" s="2078" t="s">
        <v>2286</v>
      </c>
      <c r="R9" s="2078" t="s">
        <v>2287</v>
      </c>
      <c r="S9" s="2078" t="s">
        <v>2288</v>
      </c>
      <c r="T9" s="2085" t="s">
        <v>2289</v>
      </c>
      <c r="U9" s="2082" t="s">
        <v>856</v>
      </c>
      <c r="V9" s="2103">
        <v>1001</v>
      </c>
      <c r="W9" s="2104" t="s">
        <v>2423</v>
      </c>
      <c r="X9" s="2105" t="s">
        <v>2424</v>
      </c>
      <c r="Y9" s="2105" t="s">
        <v>2425</v>
      </c>
      <c r="Z9" s="2098" t="s">
        <v>2426</v>
      </c>
      <c r="AA9" s="2074" t="s">
        <v>2427</v>
      </c>
      <c r="AC9" s="2093" t="str">
        <f t="shared" si="1"/>
        <v>Isabelle Fleisch</v>
      </c>
      <c r="AD9" s="2091" t="str">
        <f t="shared" si="2"/>
        <v>Leiterin Intensivstation, Service de médecine Intensive, Hirslanden Clinique Cécil, Lausanne</v>
      </c>
      <c r="AE9" s="2091" t="str">
        <f t="shared" si="0"/>
        <v>Spécialiste Médecine Intensive</v>
      </c>
      <c r="AF9" s="2091" t="str">
        <f t="shared" si="3"/>
        <v>isabelle.fleisch@hirslanden.ch</v>
      </c>
    </row>
    <row r="10" spans="1:32" ht="30" customHeight="1">
      <c r="A10" s="2067" t="s">
        <v>367</v>
      </c>
      <c r="B10" s="2068" t="s">
        <v>368</v>
      </c>
      <c r="C10" s="2068" t="s">
        <v>411</v>
      </c>
      <c r="L10" s="2076"/>
      <c r="M10" s="2089" t="s">
        <v>2422</v>
      </c>
      <c r="N10" s="1945" t="s">
        <v>2290</v>
      </c>
      <c r="O10" s="1945" t="s">
        <v>2291</v>
      </c>
      <c r="P10" s="2078" t="s">
        <v>2292</v>
      </c>
      <c r="Q10" s="2078" t="s">
        <v>2293</v>
      </c>
      <c r="R10" s="2078" t="s">
        <v>2294</v>
      </c>
      <c r="S10" s="2078" t="s">
        <v>2295</v>
      </c>
      <c r="T10" s="2085" t="s">
        <v>2296</v>
      </c>
      <c r="U10" s="2082" t="s">
        <v>856</v>
      </c>
      <c r="V10" s="2103">
        <v>1950</v>
      </c>
      <c r="W10" s="2104" t="s">
        <v>2428</v>
      </c>
      <c r="X10" s="2105" t="s">
        <v>2429</v>
      </c>
      <c r="Y10" s="2105" t="s">
        <v>2430</v>
      </c>
      <c r="Z10" s="2098" t="s">
        <v>2431</v>
      </c>
      <c r="AA10" s="2074" t="s">
        <v>2432</v>
      </c>
      <c r="AC10" s="2093" t="str">
        <f t="shared" si="1"/>
        <v>Raymond Friolet</v>
      </c>
      <c r="AD10" s="2091" t="str">
        <f t="shared" si="2"/>
        <v>Chef du Service de Médecine Intensive, Hôpital du Valais, Sion</v>
      </c>
      <c r="AE10" s="2091" t="str">
        <f t="shared" si="0"/>
        <v>Spécialiste Médecine Intensive</v>
      </c>
      <c r="AF10" s="2091" t="str">
        <f t="shared" si="3"/>
        <v>raymond.friolet@hopitalvs.ch</v>
      </c>
    </row>
    <row r="11" spans="1:32" ht="30" customHeight="1">
      <c r="A11" s="2067" t="s">
        <v>387</v>
      </c>
      <c r="B11" s="2068" t="s">
        <v>388</v>
      </c>
      <c r="C11" s="2068" t="s">
        <v>421</v>
      </c>
      <c r="L11" s="2076" t="s">
        <v>2400</v>
      </c>
      <c r="M11" s="2089"/>
      <c r="N11" s="1945" t="s">
        <v>2297</v>
      </c>
      <c r="O11" s="1945" t="s">
        <v>2298</v>
      </c>
      <c r="P11" s="2078" t="s">
        <v>2299</v>
      </c>
      <c r="Q11" s="2078" t="s">
        <v>2300</v>
      </c>
      <c r="R11" s="2078" t="s">
        <v>2301</v>
      </c>
      <c r="S11" s="2078"/>
      <c r="T11" s="2085" t="s">
        <v>2302</v>
      </c>
      <c r="U11" s="2082" t="s">
        <v>857</v>
      </c>
      <c r="V11" s="2103">
        <v>3010</v>
      </c>
      <c r="W11" s="2104" t="s">
        <v>2433</v>
      </c>
      <c r="X11" s="2105" t="s">
        <v>2434</v>
      </c>
      <c r="Y11" s="2105" t="s">
        <v>2435</v>
      </c>
      <c r="Z11" s="2098" t="s">
        <v>2436</v>
      </c>
      <c r="AA11" s="2074" t="s">
        <v>2437</v>
      </c>
      <c r="AC11" s="2093" t="str">
        <f t="shared" si="1"/>
        <v xml:space="preserve">Brigitte  Hämmerli </v>
      </c>
      <c r="AD11" s="2091" t="str">
        <f t="shared" si="2"/>
        <v>Fachbereichsleitung Pflege, Universitätsklinik für Intensivmedizin, Inselspital Bern</v>
      </c>
      <c r="AE11" s="2091" t="str">
        <f t="shared" si="0"/>
        <v>Experte/in Intensivpflege</v>
      </c>
      <c r="AF11" s="2091" t="str">
        <f t="shared" si="3"/>
        <v>brigitte.haemmerli@insel.ch</v>
      </c>
    </row>
    <row r="12" spans="1:32" ht="30" customHeight="1">
      <c r="A12" s="2067" t="s">
        <v>403</v>
      </c>
      <c r="B12" s="2068" t="s">
        <v>404</v>
      </c>
      <c r="C12" s="2068" t="s">
        <v>404</v>
      </c>
      <c r="L12" s="2076"/>
      <c r="M12" s="2089" t="s">
        <v>2422</v>
      </c>
      <c r="N12" s="1945" t="s">
        <v>2303</v>
      </c>
      <c r="O12" s="1945" t="s">
        <v>2304</v>
      </c>
      <c r="P12" s="2078" t="s">
        <v>2305</v>
      </c>
      <c r="Q12" s="2078" t="s">
        <v>2279</v>
      </c>
      <c r="R12" s="2078" t="s">
        <v>2306</v>
      </c>
      <c r="S12" s="2078" t="s">
        <v>2307</v>
      </c>
      <c r="T12" s="2085" t="s">
        <v>2308</v>
      </c>
      <c r="U12" s="2082" t="s">
        <v>2227</v>
      </c>
      <c r="V12" s="2103">
        <v>3013</v>
      </c>
      <c r="W12" s="2104" t="s">
        <v>2433</v>
      </c>
      <c r="X12" s="2105" t="s">
        <v>2438</v>
      </c>
      <c r="Y12" s="2105" t="s">
        <v>2439</v>
      </c>
      <c r="Z12" s="2098" t="s">
        <v>2440</v>
      </c>
      <c r="AA12" s="2074" t="s">
        <v>2441</v>
      </c>
      <c r="AC12" s="2093" t="str">
        <f t="shared" si="1"/>
        <v>Rafael Knüsel</v>
      </c>
      <c r="AD12" s="2091" t="str">
        <f t="shared" si="2"/>
        <v>Ärztlicher Leiter Intensivmedizin, Intensivstation, Hirslanden Klinik Beau Site, Bern</v>
      </c>
      <c r="AE12" s="2091" t="str">
        <f t="shared" si="0"/>
        <v>Facharzt/ärztin Intensivmedizin</v>
      </c>
      <c r="AF12" s="2091" t="str">
        <f t="shared" si="3"/>
        <v>rafael.knuesel@hirslanden.ch</v>
      </c>
    </row>
    <row r="13" spans="1:32" ht="30" customHeight="1">
      <c r="A13" s="2067" t="s">
        <v>357</v>
      </c>
      <c r="B13" s="2068" t="s">
        <v>358</v>
      </c>
      <c r="C13" s="2068" t="s">
        <v>407</v>
      </c>
      <c r="L13" s="2076"/>
      <c r="M13" s="2089" t="s">
        <v>2422</v>
      </c>
      <c r="N13" s="1945" t="s">
        <v>2309</v>
      </c>
      <c r="O13" s="1945" t="s">
        <v>2310</v>
      </c>
      <c r="P13" s="2078" t="s">
        <v>2311</v>
      </c>
      <c r="Q13" s="2078" t="s">
        <v>2279</v>
      </c>
      <c r="R13" s="2078" t="s">
        <v>2312</v>
      </c>
      <c r="S13" s="2078" t="s">
        <v>2313</v>
      </c>
      <c r="T13" s="2085" t="s">
        <v>2314</v>
      </c>
      <c r="U13" s="2082" t="s">
        <v>2227</v>
      </c>
      <c r="V13" s="2103">
        <v>2502</v>
      </c>
      <c r="W13" s="2104" t="s">
        <v>2442</v>
      </c>
      <c r="X13" s="2105" t="s">
        <v>2443</v>
      </c>
      <c r="Y13" s="2105" t="s">
        <v>2444</v>
      </c>
      <c r="Z13" s="2098" t="s">
        <v>2445</v>
      </c>
      <c r="AA13" s="2074" t="s">
        <v>2446</v>
      </c>
      <c r="AC13" s="2093" t="str">
        <f t="shared" si="1"/>
        <v>Marcus Laube</v>
      </c>
      <c r="AD13" s="2091" t="str">
        <f t="shared" si="2"/>
        <v>Chefarzt Intensivmedizin, Intensivstation, Spitalzentrum Biel</v>
      </c>
      <c r="AE13" s="2091" t="str">
        <f t="shared" si="0"/>
        <v>Facharzt/ärztin Intensivmedizin</v>
      </c>
      <c r="AF13" s="2091" t="str">
        <f t="shared" si="3"/>
        <v>marcus.laube@szb-chb.ch</v>
      </c>
    </row>
    <row r="14" spans="1:32" ht="30" customHeight="1">
      <c r="A14" s="2067" t="s">
        <v>399</v>
      </c>
      <c r="B14" s="2068" t="s">
        <v>400</v>
      </c>
      <c r="C14" s="2068" t="s">
        <v>426</v>
      </c>
      <c r="L14" s="2076" t="s">
        <v>2400</v>
      </c>
      <c r="M14" s="2089"/>
      <c r="N14" s="1945" t="s">
        <v>2315</v>
      </c>
      <c r="O14" s="1945" t="s">
        <v>2316</v>
      </c>
      <c r="P14" s="2078" t="s">
        <v>2244</v>
      </c>
      <c r="Q14" s="2078" t="s">
        <v>2279</v>
      </c>
      <c r="R14" s="2078" t="s">
        <v>2317</v>
      </c>
      <c r="S14" s="2078" t="s">
        <v>2318</v>
      </c>
      <c r="T14" s="2085" t="s">
        <v>2319</v>
      </c>
      <c r="U14" s="2082" t="s">
        <v>857</v>
      </c>
      <c r="V14" s="2103">
        <v>4031</v>
      </c>
      <c r="W14" s="2104" t="s">
        <v>2447</v>
      </c>
      <c r="X14" s="2105" t="s">
        <v>2448</v>
      </c>
      <c r="Y14" s="2105" t="s">
        <v>2449</v>
      </c>
      <c r="Z14" s="2098" t="s">
        <v>2450</v>
      </c>
      <c r="AA14" s="2074" t="s">
        <v>2451</v>
      </c>
      <c r="AC14" s="2093" t="str">
        <f t="shared" si="1"/>
        <v>Angelika Lehmann</v>
      </c>
      <c r="AD14" s="2091" t="str">
        <f t="shared" si="2"/>
        <v>Klinikleitung Pflege, Intensivstation, Universitätsspital Basel</v>
      </c>
      <c r="AE14" s="2091" t="str">
        <f t="shared" si="0"/>
        <v>Experte/in Intensivpflege</v>
      </c>
      <c r="AF14" s="2091" t="str">
        <f t="shared" si="3"/>
        <v>angelika.lehmann@usb.ch</v>
      </c>
    </row>
    <row r="15" spans="1:32" ht="30" customHeight="1">
      <c r="A15" s="2067" t="s">
        <v>365</v>
      </c>
      <c r="B15" s="2068" t="s">
        <v>366</v>
      </c>
      <c r="C15" s="2068" t="s">
        <v>410</v>
      </c>
      <c r="L15" s="2076" t="s">
        <v>2400</v>
      </c>
      <c r="M15" s="2089"/>
      <c r="N15" s="1945" t="s">
        <v>2320</v>
      </c>
      <c r="O15" s="1945" t="s">
        <v>2321</v>
      </c>
      <c r="P15" s="2078" t="s">
        <v>2322</v>
      </c>
      <c r="Q15" s="2078" t="s">
        <v>2279</v>
      </c>
      <c r="R15" s="2078" t="s">
        <v>2323</v>
      </c>
      <c r="S15" s="2078"/>
      <c r="T15" s="2085" t="s">
        <v>2324</v>
      </c>
      <c r="U15" s="2082" t="s">
        <v>857</v>
      </c>
      <c r="V15" s="2103">
        <v>6600</v>
      </c>
      <c r="W15" s="2104" t="s">
        <v>2452</v>
      </c>
      <c r="X15" s="2105" t="s">
        <v>2453</v>
      </c>
      <c r="Y15" s="2105"/>
      <c r="Z15" s="2098" t="s">
        <v>2454</v>
      </c>
      <c r="AA15" s="2074" t="s">
        <v>2455</v>
      </c>
      <c r="AC15" s="2093" t="str">
        <f t="shared" si="1"/>
        <v xml:space="preserve">Alessandra  Pedrazzini </v>
      </c>
      <c r="AD15" s="2091" t="str">
        <f t="shared" si="2"/>
        <v>Infermiera capo reparto, Ospedale Regionale di Locarno</v>
      </c>
      <c r="AE15" s="2091" t="str">
        <f t="shared" si="0"/>
        <v>Experte/in Intensivpflege</v>
      </c>
      <c r="AF15" s="2091" t="str">
        <f t="shared" si="3"/>
        <v>alessandra.pedrazzini@eoc.ch</v>
      </c>
    </row>
    <row r="16" spans="1:32" ht="30" customHeight="1">
      <c r="A16" s="2067" t="s">
        <v>363</v>
      </c>
      <c r="B16" s="2068" t="s">
        <v>364</v>
      </c>
      <c r="C16" s="2068" t="s">
        <v>409</v>
      </c>
      <c r="L16" s="2076" t="s">
        <v>2456</v>
      </c>
      <c r="M16" s="2089"/>
      <c r="N16" s="1945" t="s">
        <v>2325</v>
      </c>
      <c r="O16" s="1945" t="s">
        <v>2326</v>
      </c>
      <c r="P16" s="2078" t="s">
        <v>2250</v>
      </c>
      <c r="Q16" s="2078" t="s">
        <v>2327</v>
      </c>
      <c r="R16" s="2078" t="s">
        <v>2328</v>
      </c>
      <c r="S16" s="2078" t="s">
        <v>2329</v>
      </c>
      <c r="T16" s="2085" t="s">
        <v>2330</v>
      </c>
      <c r="U16" s="2082" t="s">
        <v>857</v>
      </c>
      <c r="V16" s="2103">
        <v>8091</v>
      </c>
      <c r="W16" s="2104" t="s">
        <v>2395</v>
      </c>
      <c r="X16" s="2105" t="s">
        <v>2457</v>
      </c>
      <c r="Y16" s="2105" t="s">
        <v>2458</v>
      </c>
      <c r="Z16" s="2098" t="s">
        <v>2459</v>
      </c>
      <c r="AA16" s="2074" t="s">
        <v>2460</v>
      </c>
      <c r="AC16" s="2093" t="str">
        <f t="shared" si="1"/>
        <v>Irene  Penker</v>
      </c>
      <c r="AD16" s="2091" t="str">
        <f t="shared" si="2"/>
        <v xml:space="preserve">Abteilungsleiterin Pflege, Institut für Intensivmedizin, Universitätsspital Zürich </v>
      </c>
      <c r="AE16" s="2091" t="str">
        <f t="shared" si="0"/>
        <v>Experte/in Intensivpflege</v>
      </c>
      <c r="AF16" s="2091" t="str">
        <f t="shared" si="3"/>
        <v>irene.penker@usz.ch</v>
      </c>
    </row>
    <row r="17" spans="1:32" ht="30" customHeight="1">
      <c r="A17" s="2067" t="s">
        <v>385</v>
      </c>
      <c r="B17" s="2068" t="s">
        <v>386</v>
      </c>
      <c r="C17" s="2068" t="s">
        <v>420</v>
      </c>
      <c r="L17" s="2076" t="s">
        <v>1725</v>
      </c>
      <c r="M17" s="2089" t="s">
        <v>2406</v>
      </c>
      <c r="N17" s="1945" t="s">
        <v>2331</v>
      </c>
      <c r="O17" s="1945" t="s">
        <v>2332</v>
      </c>
      <c r="P17" s="2078" t="s">
        <v>2333</v>
      </c>
      <c r="Q17" s="2078" t="s">
        <v>2334</v>
      </c>
      <c r="R17" s="2078" t="s">
        <v>2335</v>
      </c>
      <c r="S17" s="2078" t="s">
        <v>2336</v>
      </c>
      <c r="T17" s="2085" t="s">
        <v>2337</v>
      </c>
      <c r="U17" s="2082" t="s">
        <v>2227</v>
      </c>
      <c r="V17" s="2103">
        <v>6500</v>
      </c>
      <c r="W17" s="2104" t="s">
        <v>2461</v>
      </c>
      <c r="X17" s="2105" t="s">
        <v>2462</v>
      </c>
      <c r="Y17" s="2105" t="s">
        <v>2463</v>
      </c>
      <c r="Z17" s="2098" t="s">
        <v>2464</v>
      </c>
      <c r="AA17" s="2074" t="s">
        <v>2465</v>
      </c>
      <c r="AC17" s="2093" t="str">
        <f t="shared" si="1"/>
        <v xml:space="preserve">Marco  Previsdomini </v>
      </c>
      <c r="AD17" s="2091" t="str">
        <f t="shared" si="2"/>
        <v>Caposervizio Medicina Intensiva, Ospedale Regionale Bellinzona</v>
      </c>
      <c r="AE17" s="2091" t="str">
        <f t="shared" si="0"/>
        <v>Facharzt/ärztin Intensivmedizin</v>
      </c>
      <c r="AF17" s="2091" t="str">
        <f t="shared" si="3"/>
        <v>marco.previsdomini@eoc.ch</v>
      </c>
    </row>
    <row r="18" spans="1:32" ht="30" customHeight="1">
      <c r="A18" s="2067" t="s">
        <v>379</v>
      </c>
      <c r="B18" s="2068" t="s">
        <v>380</v>
      </c>
      <c r="C18" s="2068" t="s">
        <v>417</v>
      </c>
      <c r="L18" s="2076" t="s">
        <v>1725</v>
      </c>
      <c r="M18" s="2089" t="s">
        <v>2406</v>
      </c>
      <c r="N18" s="1945" t="s">
        <v>2338</v>
      </c>
      <c r="O18" s="1945" t="s">
        <v>2339</v>
      </c>
      <c r="P18" s="2078" t="s">
        <v>2340</v>
      </c>
      <c r="Q18" s="2078" t="s">
        <v>2341</v>
      </c>
      <c r="R18" s="2078" t="s">
        <v>2342</v>
      </c>
      <c r="S18" s="2078" t="s">
        <v>2343</v>
      </c>
      <c r="T18" s="2085" t="s">
        <v>2308</v>
      </c>
      <c r="U18" s="2082" t="s">
        <v>2227</v>
      </c>
      <c r="V18" s="2103">
        <v>6006</v>
      </c>
      <c r="W18" s="2104" t="s">
        <v>2466</v>
      </c>
      <c r="X18" s="2105" t="s">
        <v>2467</v>
      </c>
      <c r="Y18" s="2105" t="s">
        <v>2468</v>
      </c>
      <c r="Z18" s="2098" t="s">
        <v>371</v>
      </c>
      <c r="AA18" s="2074" t="s">
        <v>2469</v>
      </c>
      <c r="AC18" s="2093" t="str">
        <f t="shared" si="1"/>
        <v xml:space="preserve">Felix  Reichlin </v>
      </c>
      <c r="AD18" s="2091" t="str">
        <f t="shared" si="2"/>
        <v>Ärztlicher Leiter Intensivmedizin, Intensivstation, Hirslanden Klinik Beau Site, Bern</v>
      </c>
      <c r="AE18" s="2091" t="str">
        <f t="shared" si="0"/>
        <v>Facharzt/ärztin Intensivmedizin</v>
      </c>
      <c r="AF18" s="2091" t="str">
        <f t="shared" si="3"/>
        <v xml:space="preserve">felix.reichlin@hirslanden.ch </v>
      </c>
    </row>
    <row r="19" spans="1:32" ht="30" customHeight="1">
      <c r="A19" s="2067" t="s">
        <v>373</v>
      </c>
      <c r="B19" s="2068" t="s">
        <v>374</v>
      </c>
      <c r="C19" s="2068" t="s">
        <v>414</v>
      </c>
      <c r="L19" s="2076" t="s">
        <v>1725</v>
      </c>
      <c r="M19" s="2089" t="s">
        <v>2382</v>
      </c>
      <c r="N19" s="1945" t="s">
        <v>2344</v>
      </c>
      <c r="O19" s="1945" t="s">
        <v>2345</v>
      </c>
      <c r="P19" s="2078" t="s">
        <v>2250</v>
      </c>
      <c r="Q19" s="2078" t="s">
        <v>2346</v>
      </c>
      <c r="R19" s="2078" t="s">
        <v>2347</v>
      </c>
      <c r="S19" s="2078"/>
      <c r="T19" s="2085" t="s">
        <v>2348</v>
      </c>
      <c r="U19" s="2082" t="s">
        <v>2227</v>
      </c>
      <c r="V19" s="2103">
        <v>8091</v>
      </c>
      <c r="W19" s="2104" t="s">
        <v>2395</v>
      </c>
      <c r="X19" s="2105" t="s">
        <v>2470</v>
      </c>
      <c r="Y19" s="2105" t="s">
        <v>2471</v>
      </c>
      <c r="Z19" s="2098" t="s">
        <v>2472</v>
      </c>
      <c r="AA19" s="2074" t="s">
        <v>2473</v>
      </c>
      <c r="AC19" s="2093" t="str">
        <f t="shared" si="1"/>
        <v xml:space="preserve">Reto  Schüpbach </v>
      </c>
      <c r="AD19" s="2091" t="str">
        <f t="shared" si="2"/>
        <v xml:space="preserve">Direkto Institut für Intensivmedizin IFI, Universitätsspital Zürich </v>
      </c>
      <c r="AE19" s="2091" t="str">
        <f t="shared" si="0"/>
        <v>Facharzt/ärztin Intensivmedizin</v>
      </c>
      <c r="AF19" s="2091" t="str">
        <f t="shared" si="3"/>
        <v>Reto.Schuepbach@usz.ch</v>
      </c>
    </row>
    <row r="20" spans="1:32" ht="30" customHeight="1">
      <c r="A20" s="2067" t="s">
        <v>361</v>
      </c>
      <c r="B20" s="2068" t="s">
        <v>362</v>
      </c>
      <c r="C20" s="2068" t="s">
        <v>408</v>
      </c>
      <c r="L20" s="2076"/>
      <c r="M20" s="2089" t="s">
        <v>2422</v>
      </c>
      <c r="N20" s="1945" t="s">
        <v>2040</v>
      </c>
      <c r="O20" s="1945" t="s">
        <v>2349</v>
      </c>
      <c r="P20" s="2078" t="s">
        <v>2350</v>
      </c>
      <c r="Q20" s="2078" t="s">
        <v>2265</v>
      </c>
      <c r="R20" s="2078" t="s">
        <v>2266</v>
      </c>
      <c r="S20" s="2078"/>
      <c r="T20" s="2085" t="s">
        <v>2351</v>
      </c>
      <c r="U20" s="2082" t="s">
        <v>856</v>
      </c>
      <c r="V20" s="2103">
        <v>1708</v>
      </c>
      <c r="W20" s="2104" t="s">
        <v>413</v>
      </c>
      <c r="X20" s="2105" t="s">
        <v>2474</v>
      </c>
      <c r="Y20" s="2105" t="s">
        <v>2475</v>
      </c>
      <c r="Z20" s="2098" t="s">
        <v>2476</v>
      </c>
      <c r="AA20" s="2074" t="s">
        <v>2477</v>
      </c>
      <c r="AC20" s="2093" t="str">
        <f t="shared" si="1"/>
        <v>Govind Sridharan</v>
      </c>
      <c r="AD20" s="2091" t="str">
        <f t="shared" si="2"/>
        <v>Médecin chef, Soins intensifs, Hôpital fribourgeois</v>
      </c>
      <c r="AE20" s="2091" t="str">
        <f t="shared" si="0"/>
        <v>Spécialiste Médecine Intensive</v>
      </c>
      <c r="AF20" s="2091" t="str">
        <f t="shared" si="3"/>
        <v>govind.sridharan@h-fr.ch</v>
      </c>
    </row>
    <row r="21" spans="1:32" ht="30" customHeight="1">
      <c r="A21" s="2067" t="s">
        <v>391</v>
      </c>
      <c r="B21" s="2068" t="s">
        <v>392</v>
      </c>
      <c r="C21" s="2068" t="s">
        <v>423</v>
      </c>
      <c r="L21" s="2076"/>
      <c r="M21" s="2089" t="s">
        <v>2478</v>
      </c>
      <c r="N21" s="1945" t="s">
        <v>2352</v>
      </c>
      <c r="O21" s="1945" t="s">
        <v>2353</v>
      </c>
      <c r="P21" s="2078" t="s">
        <v>2354</v>
      </c>
      <c r="Q21" s="2078" t="s">
        <v>2355</v>
      </c>
      <c r="R21" s="2078" t="s">
        <v>2356</v>
      </c>
      <c r="S21" s="2078" t="s">
        <v>2357</v>
      </c>
      <c r="T21" s="2085" t="s">
        <v>2358</v>
      </c>
      <c r="U21" s="2082" t="s">
        <v>2227</v>
      </c>
      <c r="V21" s="2103">
        <v>8152</v>
      </c>
      <c r="W21" s="2104" t="s">
        <v>2479</v>
      </c>
      <c r="X21" s="2105" t="s">
        <v>2480</v>
      </c>
      <c r="Y21" s="2105" t="s">
        <v>2481</v>
      </c>
      <c r="Z21" s="2098" t="s">
        <v>2482</v>
      </c>
      <c r="AA21" s="2074" t="s">
        <v>2483</v>
      </c>
      <c r="AC21" s="2093" t="str">
        <f t="shared" si="1"/>
        <v>Reto Stocker</v>
      </c>
      <c r="AD21" s="2091" t="str">
        <f t="shared" si="2"/>
        <v>Leier Forschung, Lehre und med. Qualität, Hirslanden Klinik Glattbrugg</v>
      </c>
      <c r="AE21" s="2091" t="str">
        <f t="shared" si="0"/>
        <v>Facharzt/ärztin Intensivmedizin</v>
      </c>
      <c r="AF21" s="2091" t="str">
        <f t="shared" si="3"/>
        <v>reto.stocker@hirslanden.ch</v>
      </c>
    </row>
    <row r="22" spans="1:32" ht="30" customHeight="1">
      <c r="A22" s="2067" t="s">
        <v>393</v>
      </c>
      <c r="B22" s="2068" t="s">
        <v>394</v>
      </c>
      <c r="C22" s="2068" t="s">
        <v>394</v>
      </c>
      <c r="L22" s="2076" t="s">
        <v>2400</v>
      </c>
      <c r="M22" s="2089"/>
      <c r="N22" s="1945" t="s">
        <v>2359</v>
      </c>
      <c r="O22" s="1945" t="s">
        <v>2360</v>
      </c>
      <c r="P22" s="2078" t="s">
        <v>2361</v>
      </c>
      <c r="Q22" s="2078" t="s">
        <v>2279</v>
      </c>
      <c r="R22" s="2078" t="s">
        <v>2301</v>
      </c>
      <c r="S22" s="2078" t="s">
        <v>2362</v>
      </c>
      <c r="T22" s="2085" t="s">
        <v>2363</v>
      </c>
      <c r="U22" s="2082" t="s">
        <v>857</v>
      </c>
      <c r="V22" s="2103">
        <v>8063</v>
      </c>
      <c r="W22" s="2104" t="s">
        <v>2395</v>
      </c>
      <c r="X22" s="2105" t="s">
        <v>2484</v>
      </c>
      <c r="Y22" s="2105"/>
      <c r="Z22" s="2098" t="s">
        <v>2485</v>
      </c>
      <c r="AA22" s="2074" t="s">
        <v>2486</v>
      </c>
      <c r="AC22" s="2093" t="str">
        <f t="shared" si="1"/>
        <v>Melanie   Von Bresinski-Kraeft</v>
      </c>
      <c r="AD22" s="2091" t="str">
        <f t="shared" si="2"/>
        <v>Fachbereichsleitung Pflege, Intensivstation, Stadtspital Zürich, Triemli</v>
      </c>
      <c r="AE22" s="2091" t="str">
        <f t="shared" si="0"/>
        <v>Experte/in Intensivpflege</v>
      </c>
      <c r="AF22" s="2091" t="str">
        <f t="shared" si="3"/>
        <v>Melanie.vonBresinski-Kraeft@stadtspital.ch</v>
      </c>
    </row>
    <row r="23" spans="1:32" ht="30" customHeight="1">
      <c r="A23" s="2067" t="s">
        <v>359</v>
      </c>
      <c r="B23" s="2068" t="s">
        <v>360</v>
      </c>
      <c r="C23" s="2068" t="s">
        <v>360</v>
      </c>
      <c r="L23" s="2076" t="s">
        <v>2400</v>
      </c>
      <c r="M23" s="2089"/>
      <c r="N23" s="1945" t="s">
        <v>2364</v>
      </c>
      <c r="O23" s="1945" t="s">
        <v>2365</v>
      </c>
      <c r="P23" s="2078" t="s">
        <v>2366</v>
      </c>
      <c r="Q23" s="2078" t="s">
        <v>2367</v>
      </c>
      <c r="R23" s="2078" t="s">
        <v>2368</v>
      </c>
      <c r="S23" s="2078" t="s">
        <v>2369</v>
      </c>
      <c r="T23" s="2085" t="s">
        <v>2370</v>
      </c>
      <c r="U23" s="2082" t="s">
        <v>857</v>
      </c>
      <c r="V23" s="2103">
        <v>8400</v>
      </c>
      <c r="W23" s="2104" t="s">
        <v>2487</v>
      </c>
      <c r="X23" s="2105" t="s">
        <v>2488</v>
      </c>
      <c r="Y23" s="2105" t="s">
        <v>2489</v>
      </c>
      <c r="Z23" s="2098" t="s">
        <v>2490</v>
      </c>
      <c r="AA23" s="2074" t="s">
        <v>2491</v>
      </c>
      <c r="AC23" s="2093" t="str">
        <f t="shared" si="1"/>
        <v xml:space="preserve">Dirk  Wiechmann </v>
      </c>
      <c r="AD23" s="2091" t="str">
        <f t="shared" si="2"/>
        <v>Leitung Pflege Intensivstation, Zentrum für Intensivmedizin, Kantonsspital Winterthur</v>
      </c>
      <c r="AE23" s="2091" t="str">
        <f t="shared" si="0"/>
        <v>Experte/in Intensivpflege</v>
      </c>
      <c r="AF23" s="2091" t="str">
        <f t="shared" si="3"/>
        <v>dirk.wiechmann@ksw.ch</v>
      </c>
    </row>
    <row r="24" spans="1:32" ht="30" customHeight="1">
      <c r="A24" s="2067" t="s">
        <v>395</v>
      </c>
      <c r="B24" s="2068" t="s">
        <v>396</v>
      </c>
      <c r="C24" s="2068" t="s">
        <v>425</v>
      </c>
      <c r="L24" s="2076"/>
      <c r="M24" s="2089"/>
      <c r="N24" s="1945" t="s">
        <v>2144</v>
      </c>
      <c r="O24" s="1945" t="s">
        <v>2371</v>
      </c>
      <c r="P24" s="2078" t="s">
        <v>1380</v>
      </c>
      <c r="Q24" s="2078" t="s">
        <v>2372</v>
      </c>
      <c r="R24" s="2078" t="s">
        <v>2373</v>
      </c>
      <c r="S24" s="2078"/>
      <c r="T24" s="2085" t="s">
        <v>2374</v>
      </c>
      <c r="U24" s="2082"/>
      <c r="V24" s="2103"/>
      <c r="W24" s="2104"/>
      <c r="X24" s="2105"/>
      <c r="Y24" s="2105"/>
      <c r="Z24" s="2098"/>
      <c r="AA24" s="2074"/>
      <c r="AC24" s="2093" t="str">
        <f t="shared" si="1"/>
        <v xml:space="preserve">Anna  Schmidt </v>
      </c>
      <c r="AD24" s="2091" t="str">
        <f t="shared" si="2"/>
        <v>Senior Association Manager, Zertifizierungskommission ZK-IS, IMK AG, Basel</v>
      </c>
      <c r="AE24" s="2091">
        <f t="shared" si="0"/>
        <v>0</v>
      </c>
      <c r="AF24" s="2091">
        <f t="shared" si="3"/>
        <v>0</v>
      </c>
    </row>
    <row r="25" spans="1:32" ht="30" customHeight="1">
      <c r="A25" s="2067" t="s">
        <v>397</v>
      </c>
      <c r="B25" s="2068" t="s">
        <v>398</v>
      </c>
      <c r="C25" s="2068" t="s">
        <v>424</v>
      </c>
      <c r="L25" s="2076"/>
      <c r="M25" s="2089"/>
      <c r="N25" s="1945"/>
      <c r="O25" s="1945"/>
      <c r="P25" s="2078"/>
      <c r="Q25" s="2078"/>
      <c r="R25" s="2078"/>
      <c r="S25" s="2078"/>
      <c r="T25" s="2085"/>
      <c r="U25" s="2082"/>
      <c r="V25" s="2103"/>
      <c r="W25" s="2104"/>
      <c r="X25" s="2105"/>
      <c r="Y25" s="2105"/>
      <c r="Z25" s="2098"/>
      <c r="AA25" s="2074"/>
      <c r="AC25" s="2093" t="str">
        <f t="shared" si="1"/>
        <v xml:space="preserve"> </v>
      </c>
      <c r="AD25" s="2091">
        <f t="shared" si="2"/>
        <v>0</v>
      </c>
      <c r="AE25" s="2091">
        <f t="shared" si="0"/>
        <v>0</v>
      </c>
      <c r="AF25" s="2091">
        <f t="shared" si="3"/>
        <v>0</v>
      </c>
    </row>
    <row r="26" spans="1:32" ht="30" customHeight="1">
      <c r="A26" s="2067" t="s">
        <v>369</v>
      </c>
      <c r="B26" s="2068" t="s">
        <v>370</v>
      </c>
      <c r="C26" s="2068" t="s">
        <v>412</v>
      </c>
      <c r="L26" s="2076"/>
      <c r="M26" s="2089"/>
      <c r="N26" s="1945"/>
      <c r="O26" s="1945"/>
      <c r="P26" s="2078"/>
      <c r="Q26" s="2078"/>
      <c r="R26" s="2078"/>
      <c r="S26" s="2078"/>
      <c r="T26" s="2085"/>
      <c r="U26" s="2082"/>
      <c r="V26" s="2103"/>
      <c r="W26" s="2104"/>
      <c r="X26" s="2105"/>
      <c r="Y26" s="2105"/>
      <c r="Z26" s="2098"/>
      <c r="AA26" s="2074"/>
      <c r="AC26" s="2093" t="str">
        <f t="shared" si="1"/>
        <v xml:space="preserve"> </v>
      </c>
      <c r="AD26" s="2091">
        <f t="shared" si="2"/>
        <v>0</v>
      </c>
      <c r="AE26" s="2091">
        <f t="shared" si="0"/>
        <v>0</v>
      </c>
      <c r="AF26" s="2091">
        <f t="shared" si="3"/>
        <v>0</v>
      </c>
    </row>
    <row r="27" spans="1:32" ht="30" customHeight="1">
      <c r="A27" s="2067" t="s">
        <v>353</v>
      </c>
      <c r="B27" s="2068" t="s">
        <v>354</v>
      </c>
      <c r="C27" s="2068" t="s">
        <v>405</v>
      </c>
      <c r="L27" s="2076"/>
      <c r="M27" s="2089"/>
      <c r="N27" s="1945"/>
      <c r="O27" s="1945"/>
      <c r="P27" s="2078"/>
      <c r="Q27" s="2078"/>
      <c r="R27" s="2078"/>
      <c r="S27" s="2078"/>
      <c r="T27" s="2085"/>
      <c r="U27" s="2082"/>
      <c r="V27" s="2103"/>
      <c r="W27" s="2104"/>
      <c r="X27" s="2105"/>
      <c r="Y27" s="2105"/>
      <c r="Z27" s="2098"/>
      <c r="AA27" s="2074"/>
      <c r="AC27" s="2093" t="str">
        <f t="shared" si="1"/>
        <v xml:space="preserve"> </v>
      </c>
      <c r="AD27" s="2091">
        <f t="shared" si="2"/>
        <v>0</v>
      </c>
      <c r="AE27" s="2091">
        <f t="shared" si="0"/>
        <v>0</v>
      </c>
      <c r="AF27" s="2091">
        <f t="shared" si="3"/>
        <v>0</v>
      </c>
    </row>
    <row r="28" spans="1:32" ht="30" customHeight="1"/>
    <row r="29" spans="1:32" ht="30" customHeight="1">
      <c r="B29" s="2068" t="s">
        <v>432</v>
      </c>
    </row>
    <row r="30" spans="1:32" ht="30" customHeight="1">
      <c r="B30" s="2068" t="s">
        <v>434</v>
      </c>
    </row>
    <row r="31" spans="1:32" ht="30" customHeight="1">
      <c r="B31" s="2069" t="s">
        <v>433</v>
      </c>
    </row>
    <row r="32" spans="1:32" ht="30" customHeight="1">
      <c r="B32" s="2068" t="s">
        <v>433</v>
      </c>
    </row>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spans="1:32" ht="30" customHeight="1"/>
    <row r="50" spans="1:32" ht="30" customHeight="1"/>
    <row r="51" spans="1:32" ht="30" customHeight="1"/>
    <row r="52" spans="1:32" ht="30" customHeight="1"/>
    <row r="53" spans="1:32" ht="30" customHeight="1"/>
    <row r="54" spans="1:32" ht="30" customHeight="1"/>
    <row r="55" spans="1:32" ht="30" customHeight="1"/>
    <row r="56" spans="1:32" ht="30" customHeight="1"/>
    <row r="57" spans="1:32" ht="30" customHeight="1"/>
    <row r="58" spans="1:32" ht="30" customHeight="1"/>
    <row r="59" spans="1:32" ht="30" customHeight="1"/>
    <row r="60" spans="1:32" ht="30" customHeight="1"/>
    <row r="61" spans="1:32" ht="30" customHeight="1">
      <c r="A61" s="2070"/>
      <c r="B61" s="2070"/>
      <c r="C61" s="2070"/>
    </row>
    <row r="62" spans="1:32" ht="30" customHeight="1"/>
    <row r="63" spans="1:32" ht="30" customHeight="1"/>
    <row r="64" spans="1:32" s="163" customFormat="1" ht="30" customHeight="1">
      <c r="A64" s="2067"/>
      <c r="B64" s="2067"/>
      <c r="C64" s="2067"/>
      <c r="E64" s="271"/>
      <c r="H64" s="465"/>
      <c r="L64" s="883"/>
      <c r="M64" s="2083"/>
      <c r="P64" s="2071"/>
      <c r="Q64" s="2071"/>
      <c r="R64" s="2071"/>
      <c r="S64" s="2071"/>
      <c r="T64" s="1736"/>
      <c r="U64" s="2080"/>
      <c r="V64" s="2106"/>
      <c r="W64" s="807"/>
      <c r="X64" s="807"/>
      <c r="Y64" s="807"/>
      <c r="Z64" s="2086"/>
      <c r="AA64" s="883"/>
      <c r="AD64" s="2083"/>
      <c r="AE64" s="2083"/>
      <c r="AF64" s="2083"/>
    </row>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8" spans="5:8">
      <c r="E98" s="271"/>
      <c r="F98" s="163"/>
      <c r="G98" s="163"/>
      <c r="H98" s="465"/>
    </row>
  </sheetData>
  <sheetProtection selectLockedCells="1" selectUnlockedCells="1"/>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9" tint="0.39997558519241921"/>
    <pageSetUpPr fitToPage="1"/>
  </sheetPr>
  <dimension ref="A1:AL396"/>
  <sheetViews>
    <sheetView zoomScale="70" zoomScaleNormal="70" zoomScalePageLayoutView="85" workbookViewId="0">
      <pane xSplit="5" ySplit="7" topLeftCell="F9" activePane="bottomRight" state="frozenSplit"/>
      <selection activeCell="B41" sqref="B41:F41"/>
      <selection pane="topRight" activeCell="B41" sqref="B41:F41"/>
      <selection pane="bottomLeft" activeCell="B41" sqref="B41:F41"/>
      <selection pane="bottomRight" activeCell="C3" sqref="C3:D3"/>
    </sheetView>
  </sheetViews>
  <sheetFormatPr baseColWidth="10" defaultColWidth="10.83203125" defaultRowHeight="16"/>
  <cols>
    <col min="1" max="2" width="10.83203125" style="113"/>
    <col min="3" max="3" width="11.1640625" style="108" customWidth="1"/>
    <col min="4" max="4" width="10.83203125" style="108" customWidth="1"/>
    <col min="5" max="5" width="8.5" style="578" customWidth="1"/>
    <col min="6" max="6" width="83" style="112" customWidth="1"/>
    <col min="7" max="7" width="25.1640625" style="371" customWidth="1"/>
    <col min="8" max="8" width="60.6640625" style="195" customWidth="1"/>
    <col min="9" max="9" width="90.6640625" style="23" customWidth="1"/>
    <col min="10" max="10" width="3.1640625" style="23" customWidth="1"/>
    <col min="11" max="11" width="30.83203125" style="145" customWidth="1"/>
    <col min="12" max="12" width="54" style="1247" customWidth="1"/>
    <col min="13" max="13" width="23.1640625" style="1281" customWidth="1"/>
    <col min="14" max="15" width="23.1640625" style="593" customWidth="1"/>
    <col min="16" max="16" width="23.1640625" style="596" customWidth="1"/>
    <col min="17" max="17" width="3.6640625" style="108" customWidth="1"/>
    <col min="18" max="25" width="10.1640625" style="108" customWidth="1"/>
    <col min="26" max="26" width="10.83203125" style="108" customWidth="1"/>
    <col min="27" max="27" width="31.1640625" style="302" customWidth="1"/>
    <col min="28" max="28" width="31.1640625" style="315" customWidth="1"/>
    <col min="29" max="29" width="31.1640625" style="362" customWidth="1"/>
    <col min="30" max="30" width="31.1640625" style="670" customWidth="1"/>
    <col min="31" max="31" width="31.1640625" style="616" customWidth="1"/>
    <col min="32" max="32" width="18.6640625" style="617" customWidth="1"/>
    <col min="33" max="16384" width="10.83203125" style="108"/>
  </cols>
  <sheetData>
    <row r="1" spans="1:32" s="642" customFormat="1" ht="28" customHeight="1" thickBot="1">
      <c r="A1" s="1134" t="s">
        <v>442</v>
      </c>
      <c r="B1" s="2206" t="s">
        <v>1442</v>
      </c>
      <c r="C1" s="2207"/>
      <c r="D1" s="2207"/>
      <c r="E1" s="641"/>
      <c r="F1" s="641" t="str">
        <f>AC5</f>
        <v>Wird von Experten nach der Visite ausgefüllt.</v>
      </c>
      <c r="G1" s="640"/>
      <c r="H1" s="1099"/>
      <c r="I1" s="641"/>
      <c r="J1" s="1123"/>
      <c r="K1" s="1148"/>
      <c r="L1" s="2212" t="str">
        <f>AF5</f>
        <v>Zusammenfassung (pro Kapitel) &amp; Konklusion
Blaue Felder erscheinen im Abschlussbericht.</v>
      </c>
      <c r="M1" s="2240" t="str">
        <f>AF12</f>
        <v>Kommentare (temporär, für die Experten)
nur ZK-intern</v>
      </c>
      <c r="N1" s="2241"/>
      <c r="O1" s="2241"/>
      <c r="P1" s="2242"/>
      <c r="AA1" s="643" t="s">
        <v>761</v>
      </c>
      <c r="AB1" s="644" t="s">
        <v>762</v>
      </c>
      <c r="AC1" s="645" t="s">
        <v>773</v>
      </c>
      <c r="AD1" s="668" t="s">
        <v>763</v>
      </c>
      <c r="AE1" s="644" t="s">
        <v>764</v>
      </c>
      <c r="AF1" s="645" t="s">
        <v>772</v>
      </c>
    </row>
    <row r="2" spans="1:32" s="18" customFormat="1" ht="50.25" customHeight="1" thickBot="1">
      <c r="A2" s="1137" t="str">
        <f>AC2</f>
        <v>Visitation: Kriterien &amp; Bericht</v>
      </c>
      <c r="B2" s="1135"/>
      <c r="C2" s="1136"/>
      <c r="D2" s="1136"/>
      <c r="E2" s="1123"/>
      <c r="F2" s="2214" t="str">
        <f>AF2&amp;"
"&amp;AC3</f>
        <v>Die auszufüllenden Felder können der Reihe nach per TABULATOR (= nach rechts) oder ENTER ( nach unten) ausgesucht werden.
Für Zeilensprung innerhalb einer Zelle (Textfelder): ALT+ENTER</v>
      </c>
      <c r="G2" s="2214"/>
      <c r="H2" s="1168"/>
      <c r="I2" s="1123"/>
      <c r="J2" s="1123"/>
      <c r="K2" s="1149"/>
      <c r="L2" s="2213"/>
      <c r="M2" s="1322" t="str">
        <f>AF13</f>
        <v>Kommentare Team</v>
      </c>
      <c r="N2" s="1324" t="str">
        <f>AF11&amp;"  "&amp;C14</f>
        <v xml:space="preserve">Kommentare  </v>
      </c>
      <c r="O2" s="1325" t="str">
        <f>AF11&amp;"  "&amp;C15</f>
        <v xml:space="preserve">Kommentare  </v>
      </c>
      <c r="P2" s="648" t="str">
        <f>AF11&amp;"  "&amp;C16</f>
        <v xml:space="preserve">Kommentare  </v>
      </c>
      <c r="AA2" s="626" t="s">
        <v>1440</v>
      </c>
      <c r="AB2" s="627" t="s">
        <v>1441</v>
      </c>
      <c r="AC2" s="362" t="str">
        <f t="shared" ref="AC2:AC8" si="0">IF(AA2=0,"",IF($A$1="D",AA2,AB2))</f>
        <v>Visitation: Kriterien &amp; Bericht</v>
      </c>
      <c r="AD2" s="669" t="str">
        <f>'2 Autodeklaration'!N4</f>
        <v>Die auszufüllenden Felder können der Reihe nach per TABULATOR (= nach rechts) oder ENTER ( nach unten) ausgesucht werden.</v>
      </c>
      <c r="AE2" s="647" t="str">
        <f>'2 Autodeklaration'!O4</f>
        <v xml:space="preserve">Les champs peuvent être choisis dans l'ordre avec TABULATION (= d'abord vers la droite) ou ENTER (d'abord vers le bas). </v>
      </c>
      <c r="AF2" s="362" t="str">
        <f>IF(AD2=0,"",IF($A$1="D",AD2,AE2))</f>
        <v>Die auszufüllenden Felder können der Reihe nach per TABULATOR (= nach rechts) oder ENTER ( nach unten) ausgesucht werden.</v>
      </c>
    </row>
    <row r="3" spans="1:32" s="1133" customFormat="1" ht="28.5" customHeight="1" thickBot="1">
      <c r="A3" s="1098"/>
      <c r="B3" s="1098"/>
      <c r="C3" s="2204"/>
      <c r="D3" s="2205"/>
      <c r="E3" s="1167" t="s">
        <v>887</v>
      </c>
      <c r="F3" s="1166" t="str">
        <f>AF3</f>
        <v>Zum Anfang, bitte das blaue Feld links anklicken, dann per TABULATOR weiter.</v>
      </c>
      <c r="G3" s="646"/>
      <c r="H3" s="1169" t="str">
        <f>AF17</f>
        <v>Zusammenfassung: Spalte L ausfüllen  →</v>
      </c>
      <c r="I3" s="591"/>
      <c r="J3" s="591"/>
      <c r="K3" s="1150"/>
      <c r="L3" s="1243"/>
      <c r="M3" s="1331"/>
      <c r="N3" s="1326"/>
      <c r="O3" s="1327"/>
      <c r="P3" s="1328"/>
      <c r="AA3" s="626" t="str">
        <f>'2 Autodeklaration'!N11</f>
        <v>Für Zeilensprung innerhalb einer Zelle (Textfelder): ALT+ENTER</v>
      </c>
      <c r="AB3" s="627" t="str">
        <f>'2 Autodeklaration'!O11</f>
        <v>Pour saut de ligne dans un champ (text libre): ALT+ENTER</v>
      </c>
      <c r="AC3" s="362" t="str">
        <f t="shared" si="0"/>
        <v>Für Zeilensprung innerhalb einer Zelle (Textfelder): ALT+ENTER</v>
      </c>
      <c r="AD3" s="669" t="str">
        <f>'1 ANTRAG-DEMANDE'!AD2</f>
        <v>Zum Anfang, bitte das blaue Feld links anklicken, dann per TABULATOR weiter.</v>
      </c>
      <c r="AE3" s="669" t="str">
        <f>'1 ANTRAG-DEMANDE'!AE2</f>
        <v>Au début, veuillez cliquer sur le champ bleu à gauche, puis continuez par TABULATEUR.</v>
      </c>
      <c r="AF3" s="362" t="str">
        <f>IF(AD3=0,"",IF($A$1="D",AD3,AE3))</f>
        <v>Zum Anfang, bitte das blaue Feld links anklicken, dann per TABULATOR weiter.</v>
      </c>
    </row>
    <row r="4" spans="1:32" s="1126" customFormat="1" ht="19" customHeight="1">
      <c r="A4" s="2253" t="str">
        <f>AC4</f>
        <v>Selbstdeklaration</v>
      </c>
      <c r="B4" s="2254"/>
      <c r="C4" s="2255" t="str">
        <f>AF4</f>
        <v>Visitation</v>
      </c>
      <c r="D4" s="2256"/>
      <c r="E4" s="578"/>
      <c r="F4" s="1138"/>
      <c r="G4" s="1139"/>
      <c r="H4" s="1140"/>
      <c r="I4" s="1124"/>
      <c r="J4" s="1124"/>
      <c r="K4" s="1125"/>
      <c r="L4" s="2208" t="str">
        <f>AF20</f>
        <v>↑
Zum Ablaufen dieser Spalte per ENTER bitte Zelle oben anklicken.</v>
      </c>
      <c r="M4" s="2299" t="s">
        <v>1629</v>
      </c>
      <c r="N4" s="2301" t="s">
        <v>1629</v>
      </c>
      <c r="O4" s="2303" t="s">
        <v>1629</v>
      </c>
      <c r="P4" s="2305" t="s">
        <v>1629</v>
      </c>
      <c r="AA4" s="1127" t="s">
        <v>334</v>
      </c>
      <c r="AB4" s="1128" t="s">
        <v>677</v>
      </c>
      <c r="AC4" s="1129" t="str">
        <f t="shared" si="0"/>
        <v>Selbstdeklaration</v>
      </c>
      <c r="AD4" s="1130" t="s">
        <v>3</v>
      </c>
      <c r="AE4" s="1131" t="s">
        <v>480</v>
      </c>
      <c r="AF4" s="1132" t="str">
        <f>IF(AD4=0,"",IF($A$1="D",AD4,AE4))</f>
        <v>Visitation</v>
      </c>
    </row>
    <row r="5" spans="1:32" s="111" customFormat="1" ht="36" customHeight="1">
      <c r="A5" s="168" t="str">
        <f>AC104</f>
        <v>Muss Kriterium</v>
      </c>
      <c r="B5" s="556" t="str">
        <f>AF104</f>
        <v>Kann Kriterium</v>
      </c>
      <c r="C5" s="435" t="str">
        <f>A5</f>
        <v>Muss Kriterium</v>
      </c>
      <c r="D5" s="557" t="str">
        <f>B5</f>
        <v>Kann Kriterium</v>
      </c>
      <c r="E5" s="1"/>
      <c r="F5" s="110"/>
      <c r="G5" s="369"/>
      <c r="H5" s="1113" t="str">
        <f>AC6</f>
        <v>Bemerkungen Selbstdeklaration
Werden automatisch hierhin übertragen.</v>
      </c>
      <c r="I5" s="1114" t="str">
        <f>AC7</f>
        <v>Bemerkungen - Experten ZK
Können neben jedem Kriterium eingetragen werden (falls erwünscht).</v>
      </c>
      <c r="K5" s="753"/>
      <c r="L5" s="2209"/>
      <c r="M5" s="2300"/>
      <c r="N5" s="2302"/>
      <c r="O5" s="2304"/>
      <c r="P5" s="2306"/>
      <c r="AA5" s="626" t="s">
        <v>1439</v>
      </c>
      <c r="AB5" s="627" t="s">
        <v>1438</v>
      </c>
      <c r="AC5" s="362" t="str">
        <f t="shared" si="0"/>
        <v>Wird von Experten nach der Visite ausgefüllt.</v>
      </c>
      <c r="AD5" s="670" t="s">
        <v>1446</v>
      </c>
      <c r="AE5" s="616" t="s">
        <v>1445</v>
      </c>
      <c r="AF5" s="617" t="str">
        <f t="shared" ref="AF5" si="1">IF(AD5=0,"",IF($A$1="D",AD5,AE5))</f>
        <v>Zusammenfassung (pro Kapitel) &amp; Konklusion
Blaue Felder erscheinen im Abschlussbericht.</v>
      </c>
    </row>
    <row r="6" spans="1:32" s="160" customFormat="1" ht="36" customHeight="1">
      <c r="A6" s="636" t="str">
        <f>AC106</f>
        <v>0= nicht erfüllt
1= erfüllt</v>
      </c>
      <c r="B6" s="637" t="str">
        <f>AF106</f>
        <v>0= nicht erfüllt
1= teilweise erfüllt
2= vollständig erfüllt</v>
      </c>
      <c r="C6" s="638" t="str">
        <f>A6</f>
        <v>0= nicht erfüllt
1= erfüllt</v>
      </c>
      <c r="D6" s="639" t="str">
        <f>B6</f>
        <v>0= nicht erfüllt
1= teilweise erfüllt
2= vollständig erfüllt</v>
      </c>
      <c r="E6" s="182"/>
      <c r="F6" s="436"/>
      <c r="G6" s="437"/>
      <c r="H6" s="572" t="str">
        <f>IF(SUM(A339:B339)=0,AF6,AF7&amp;AF10&amp;":"&amp;A339&amp;"   "&amp;AF15&amp;":"&amp;B339)</f>
        <v>Datensatz Selbstdeklaration unvollständig. Noch auszufüllen:   Muss:108   Kann:35</v>
      </c>
      <c r="I6" s="572" t="str">
        <f>IF(SUM(C339:D339)=0,AF19,AF18&amp;AF10&amp;":"&amp;C339&amp;"   "&amp;AF15&amp;":"&amp;D339)</f>
        <v>Datensatz Kriterien Visitation unvollständig. Noch auszufüllen:  Muss:108   Kann:35</v>
      </c>
      <c r="K6" s="752"/>
      <c r="L6" s="1244"/>
      <c r="M6" s="1323"/>
      <c r="N6" s="1329"/>
      <c r="O6" s="1330"/>
      <c r="P6" s="596"/>
      <c r="AA6" s="321" t="s">
        <v>1366</v>
      </c>
      <c r="AB6" s="322" t="s">
        <v>1367</v>
      </c>
      <c r="AC6" s="362" t="str">
        <f t="shared" si="0"/>
        <v>Bemerkungen Selbstdeklaration
Werden automatisch hierhin übertragen.</v>
      </c>
      <c r="AD6" s="670" t="s">
        <v>771</v>
      </c>
      <c r="AE6" s="616" t="s">
        <v>755</v>
      </c>
      <c r="AF6" s="617" t="str">
        <f>IF(AD6=0,"",IF($A$1="D",AD6,AE6))</f>
        <v>Selbstdeklaration vollständig</v>
      </c>
    </row>
    <row r="7" spans="1:32" s="272" customFormat="1" ht="19" customHeight="1" thickBot="1">
      <c r="A7" s="1141">
        <f>A332</f>
        <v>0</v>
      </c>
      <c r="B7" s="1142">
        <f t="shared" ref="B7:D7" si="2">B332</f>
        <v>0</v>
      </c>
      <c r="C7" s="1143">
        <f t="shared" si="2"/>
        <v>0</v>
      </c>
      <c r="D7" s="1144">
        <f t="shared" si="2"/>
        <v>0</v>
      </c>
      <c r="E7" s="2258" t="str">
        <f>AF16</f>
        <v xml:space="preserve">  = Erreicht von max. Punktzahl</v>
      </c>
      <c r="F7" s="2259"/>
      <c r="G7" s="1145"/>
      <c r="H7" s="1146"/>
      <c r="I7" s="1147"/>
      <c r="J7" s="685"/>
      <c r="K7" s="718"/>
      <c r="L7" s="1245"/>
      <c r="M7" s="1323"/>
      <c r="N7" s="1329"/>
      <c r="O7" s="1330"/>
      <c r="P7" s="596"/>
      <c r="AA7" s="321" t="s">
        <v>1369</v>
      </c>
      <c r="AB7" s="322" t="s">
        <v>1368</v>
      </c>
      <c r="AC7" s="362" t="str">
        <f t="shared" si="0"/>
        <v>Bemerkungen - Experten ZK
Können neben jedem Kriterium eingetragen werden (falls erwünscht).</v>
      </c>
      <c r="AD7" s="670" t="s">
        <v>779</v>
      </c>
      <c r="AE7" s="616" t="s">
        <v>778</v>
      </c>
      <c r="AF7" s="617" t="str">
        <f>IF(AD7=0,"",IF($A$1="D",AD7,AE7))</f>
        <v xml:space="preserve">Datensatz Selbstdeklaration unvollständig. Noch auszufüllen:   </v>
      </c>
    </row>
    <row r="8" spans="1:32" s="20" customFormat="1" ht="17" customHeight="1">
      <c r="A8" s="304"/>
      <c r="C8" s="444"/>
      <c r="D8" s="444"/>
      <c r="E8" s="592"/>
      <c r="F8" s="444"/>
      <c r="G8" s="370"/>
      <c r="H8" s="759"/>
      <c r="I8" s="183"/>
      <c r="J8" s="183"/>
      <c r="K8" s="743"/>
      <c r="L8" s="1246"/>
      <c r="M8" s="1282"/>
      <c r="N8" s="594"/>
      <c r="O8" s="594"/>
      <c r="P8" s="597"/>
      <c r="AA8" s="302" t="s">
        <v>991</v>
      </c>
      <c r="AB8" s="315" t="s">
        <v>990</v>
      </c>
      <c r="AC8" s="362" t="str">
        <f t="shared" si="0"/>
        <v>Name Excel-Datei:</v>
      </c>
      <c r="AD8" s="670" t="s">
        <v>776</v>
      </c>
      <c r="AE8" s="616" t="s">
        <v>777</v>
      </c>
      <c r="AF8" s="617" t="str">
        <f t="shared" ref="AF8" si="3">IF(AD8=0,"",IF($A$1="D",AD8,AE8))</f>
        <v xml:space="preserve">Datensatz Kriterien Visitation unvollständig. Noch auszufüllen:  </v>
      </c>
    </row>
    <row r="9" spans="1:32" s="20" customFormat="1" ht="28" customHeight="1">
      <c r="A9" s="303" t="str">
        <f>AC9</f>
        <v>Bericht ohne Visitation ?</v>
      </c>
      <c r="C9" s="2307"/>
      <c r="D9" s="2307"/>
      <c r="E9" s="2307"/>
      <c r="F9" s="451" t="str">
        <f>AF9</f>
        <v>Falls nur Aktenstudium ohne Visite: "Ja" wählen</v>
      </c>
      <c r="G9" s="451"/>
      <c r="I9" s="183"/>
      <c r="J9" s="183"/>
      <c r="K9" s="1100"/>
      <c r="M9" s="1282"/>
      <c r="N9" s="594"/>
      <c r="O9" s="594"/>
      <c r="P9" s="597"/>
      <c r="AA9" s="302" t="s">
        <v>1567</v>
      </c>
      <c r="AB9" s="315" t="s">
        <v>1566</v>
      </c>
      <c r="AC9" s="362" t="str">
        <f>IF(AA9=0,"",IF($A$1="D",AA9,AB9))</f>
        <v>Bericht ohne Visitation ?</v>
      </c>
      <c r="AD9" s="671" t="s">
        <v>1564</v>
      </c>
      <c r="AE9" s="313" t="s">
        <v>1565</v>
      </c>
      <c r="AF9" s="617" t="str">
        <f>IF(AD9=0,"",IF($A$1="D",AD9,AE9))</f>
        <v>Falls nur Aktenstudium ohne Visite: "Ja" wählen</v>
      </c>
    </row>
    <row r="10" spans="1:32" s="20" customFormat="1" ht="28" customHeight="1">
      <c r="A10" s="303" t="str">
        <f>AC10</f>
        <v>Datum Visitation</v>
      </c>
      <c r="C10" s="2307"/>
      <c r="D10" s="2307"/>
      <c r="E10" s="2307"/>
      <c r="F10" s="20" t="str">
        <f>IF(C9=Liste!$G$2,AF21,AF22)</f>
        <v>dd.mm.yyyy</v>
      </c>
      <c r="H10" s="143"/>
      <c r="I10" s="183"/>
      <c r="J10" s="183"/>
      <c r="K10" s="1100" t="str">
        <f>IF(DAY(C10)&lt;10,"0","")&amp;DAY(C10)&amp;"."&amp;IF(MONTH(C10)&lt;10,"0","")&amp;MONTH(C10)&amp;"."&amp;YEAR(C10)</f>
        <v>00.01.1900</v>
      </c>
      <c r="M10" s="1282"/>
      <c r="N10" s="594"/>
      <c r="O10" s="594"/>
      <c r="P10" s="597"/>
      <c r="AA10" s="302" t="s">
        <v>1586</v>
      </c>
      <c r="AB10" s="315" t="s">
        <v>780</v>
      </c>
      <c r="AC10" s="362" t="str">
        <f t="shared" ref="AC10:AC146" si="4">IF(AA10=0,"",IF($A$1="D",AA10,AB10))</f>
        <v>Datum Visitation</v>
      </c>
      <c r="AD10" s="671" t="s">
        <v>666</v>
      </c>
      <c r="AE10" s="313" t="s">
        <v>667</v>
      </c>
      <c r="AF10" s="617" t="str">
        <f t="shared" ref="AF10:AF146" si="5">IF(AD10=0,"",IF($A$1="D",AD10,AE10))</f>
        <v>Muss</v>
      </c>
    </row>
    <row r="11" spans="1:32" s="20" customFormat="1" ht="28" customHeight="1">
      <c r="A11" s="303" t="str">
        <f>AC11</f>
        <v>Beginn der Visitation</v>
      </c>
      <c r="C11" s="2267"/>
      <c r="D11" s="2267"/>
      <c r="E11" s="2267"/>
      <c r="F11" s="2308" t="str">
        <f>IF(C9=Liste!$G$2,AF21,AF23)</f>
        <v>hh:mm</v>
      </c>
      <c r="G11" s="371"/>
      <c r="H11" s="371"/>
      <c r="I11" s="183"/>
      <c r="J11" s="183"/>
      <c r="K11" s="1101" t="str">
        <f>IF(HOUR(C11)&lt;10,0,"")&amp;HOUR(C11)&amp;":"&amp;IF(MINUTE(C11)&lt;10,"0","")&amp;MINUTE(C11)</f>
        <v>00:00</v>
      </c>
      <c r="L11" s="1246"/>
      <c r="M11" s="1282"/>
      <c r="N11" s="594"/>
      <c r="O11" s="594"/>
      <c r="P11" s="597"/>
      <c r="AA11" s="302" t="s">
        <v>824</v>
      </c>
      <c r="AB11" s="315" t="s">
        <v>825</v>
      </c>
      <c r="AC11" s="362" t="str">
        <f t="shared" si="4"/>
        <v>Beginn der Visitation</v>
      </c>
      <c r="AD11" s="671" t="s">
        <v>869</v>
      </c>
      <c r="AE11" s="313" t="s">
        <v>870</v>
      </c>
      <c r="AF11" s="617" t="str">
        <f t="shared" si="5"/>
        <v>Kommentare</v>
      </c>
    </row>
    <row r="12" spans="1:32" s="20" customFormat="1" ht="28" customHeight="1">
      <c r="A12" s="303" t="str">
        <f t="shared" ref="A12" si="6">AC12</f>
        <v>Ende der Visitation</v>
      </c>
      <c r="C12" s="2267"/>
      <c r="D12" s="2267"/>
      <c r="E12" s="2267"/>
      <c r="F12" s="2308"/>
      <c r="G12" s="371"/>
      <c r="H12" s="371"/>
      <c r="I12" s="183"/>
      <c r="J12" s="183"/>
      <c r="K12" s="1101" t="str">
        <f>IF(HOUR(C12)&lt;10,0,"")&amp;HOUR(C12)&amp;":"&amp;IF(MINUTE(C12)&lt;10,"0","")&amp;MINUTE(C12)</f>
        <v>00:00</v>
      </c>
      <c r="L12" s="1246"/>
      <c r="M12" s="1282"/>
      <c r="N12" s="594"/>
      <c r="O12" s="594"/>
      <c r="P12" s="597"/>
      <c r="AA12" s="302" t="s">
        <v>826</v>
      </c>
      <c r="AB12" s="315" t="s">
        <v>827</v>
      </c>
      <c r="AC12" s="362" t="str">
        <f t="shared" si="4"/>
        <v>Ende der Visitation</v>
      </c>
      <c r="AD12" s="671" t="s">
        <v>871</v>
      </c>
      <c r="AE12" s="313" t="s">
        <v>914</v>
      </c>
      <c r="AF12" s="617" t="str">
        <f t="shared" si="5"/>
        <v>Kommentare (temporär, für die Experten)
nur ZK-intern</v>
      </c>
    </row>
    <row r="13" spans="1:32" s="20" customFormat="1" ht="28" customHeight="1">
      <c r="A13" s="303"/>
      <c r="C13" s="2269" t="str">
        <f>AC13</f>
        <v>Name</v>
      </c>
      <c r="D13" s="2269"/>
      <c r="E13" s="2269"/>
      <c r="F13" s="575" t="str">
        <f>AC14</f>
        <v>Dienstfunktion</v>
      </c>
      <c r="G13" s="574" t="str">
        <f>AF14</f>
        <v>Fachausbildung Experte:</v>
      </c>
      <c r="H13" s="575" t="s">
        <v>1640</v>
      </c>
      <c r="I13" s="183"/>
      <c r="J13" s="183"/>
      <c r="K13" s="742"/>
      <c r="L13" s="1246"/>
      <c r="M13" s="1282"/>
      <c r="N13" s="594"/>
      <c r="O13" s="594"/>
      <c r="P13" s="597"/>
      <c r="AA13" s="302" t="s">
        <v>861</v>
      </c>
      <c r="AB13" s="315" t="s">
        <v>864</v>
      </c>
      <c r="AC13" s="362" t="str">
        <f t="shared" si="4"/>
        <v>Name</v>
      </c>
      <c r="AD13" s="671" t="s">
        <v>915</v>
      </c>
      <c r="AE13" s="313" t="s">
        <v>916</v>
      </c>
      <c r="AF13" s="617" t="str">
        <f t="shared" si="5"/>
        <v>Kommentare Team</v>
      </c>
    </row>
    <row r="14" spans="1:32" s="20" customFormat="1" ht="28" customHeight="1">
      <c r="A14" s="304" t="str">
        <f>AC15&amp;"1"</f>
        <v>Experte 1</v>
      </c>
      <c r="C14" s="2211"/>
      <c r="D14" s="2211"/>
      <c r="E14" s="2211"/>
      <c r="F14" s="2094" t="e">
        <f>VLOOKUP(C14,Liste!AC:AF,2,FALSE)</f>
        <v>#N/A</v>
      </c>
      <c r="G14" s="2095" t="e">
        <f>VLOOKUP(C14,Liste!AC:AF,3,FALSE)</f>
        <v>#N/A</v>
      </c>
      <c r="H14" s="2096" t="e">
        <f>VLOOKUP(C14,Liste!AC:AF,4,FALSE)</f>
        <v>#N/A</v>
      </c>
      <c r="I14" s="183"/>
      <c r="J14" s="183"/>
      <c r="K14" s="1100" t="e">
        <f>C14&amp;", "&amp;G14&amp;", "&amp;F14&amp;"
"</f>
        <v>#N/A</v>
      </c>
      <c r="L14" s="1246"/>
      <c r="M14" s="1282"/>
      <c r="N14" s="594"/>
      <c r="O14" s="594"/>
      <c r="P14" s="597"/>
      <c r="AA14" s="302" t="s">
        <v>860</v>
      </c>
      <c r="AB14" s="315" t="s">
        <v>865</v>
      </c>
      <c r="AC14" s="362" t="str">
        <f t="shared" si="4"/>
        <v>Dienstfunktion</v>
      </c>
      <c r="AD14" s="671" t="s">
        <v>859</v>
      </c>
      <c r="AE14" s="313" t="s">
        <v>866</v>
      </c>
      <c r="AF14" s="617" t="str">
        <f t="shared" ref="AF14:AF21" si="7">IF(AD14=0,"",IF($A$1="D",AD14,AE14))</f>
        <v>Fachausbildung Experte:</v>
      </c>
    </row>
    <row r="15" spans="1:32" s="20" customFormat="1" ht="28" customHeight="1">
      <c r="A15" s="304" t="str">
        <f>AC15&amp;"2"</f>
        <v>Experte 2</v>
      </c>
      <c r="C15" s="2211"/>
      <c r="D15" s="2211"/>
      <c r="E15" s="2211"/>
      <c r="F15" s="2094" t="e">
        <f>VLOOKUP(C15,Liste!AC:AF,2,FALSE)</f>
        <v>#N/A</v>
      </c>
      <c r="G15" s="2095" t="e">
        <f>VLOOKUP(C15,Liste!AC:AF,3,FALSE)</f>
        <v>#N/A</v>
      </c>
      <c r="H15" s="2096" t="e">
        <f>VLOOKUP(C15,Liste!AC:AF,4,FALSE)</f>
        <v>#N/A</v>
      </c>
      <c r="I15" s="183"/>
      <c r="J15" s="183"/>
      <c r="K15" s="1100" t="e">
        <f>C15&amp;", "&amp;G15&amp;", "&amp;F15&amp;"
"</f>
        <v>#N/A</v>
      </c>
      <c r="L15" s="1246"/>
      <c r="M15" s="1282"/>
      <c r="N15" s="594"/>
      <c r="O15" s="594"/>
      <c r="P15" s="597"/>
      <c r="AA15" s="302" t="s">
        <v>756</v>
      </c>
      <c r="AB15" s="315" t="s">
        <v>757</v>
      </c>
      <c r="AC15" s="362" t="str">
        <f>IF(AA15=0,"",IF($A$1="D",AA15,AB15))</f>
        <v xml:space="preserve">Experte </v>
      </c>
      <c r="AD15" s="671" t="s">
        <v>669</v>
      </c>
      <c r="AE15" s="313" t="s">
        <v>668</v>
      </c>
      <c r="AF15" s="617" t="str">
        <f t="shared" si="7"/>
        <v>Kann</v>
      </c>
    </row>
    <row r="16" spans="1:32" s="20" customFormat="1" ht="28" customHeight="1">
      <c r="A16" s="304" t="str">
        <f>AC15&amp;"3"</f>
        <v>Experte 3</v>
      </c>
      <c r="C16" s="2211"/>
      <c r="D16" s="2211"/>
      <c r="E16" s="2211"/>
      <c r="F16" s="2094" t="e">
        <f>VLOOKUP(C16,Liste!AC:AF,2,FALSE)</f>
        <v>#N/A</v>
      </c>
      <c r="G16" s="2095" t="e">
        <f>VLOOKUP(C16,Liste!AC:AF,3,FALSE)</f>
        <v>#N/A</v>
      </c>
      <c r="H16" s="2096" t="e">
        <f>VLOOKUP(C16,Liste!AC:AF,4,FALSE)</f>
        <v>#N/A</v>
      </c>
      <c r="I16" s="183"/>
      <c r="J16" s="183"/>
      <c r="K16" s="1100" t="e">
        <f>C16&amp;", "&amp;G16&amp;", "&amp;F16&amp;"
"</f>
        <v>#N/A</v>
      </c>
      <c r="L16" s="1246"/>
      <c r="M16" s="1282"/>
      <c r="N16" s="594"/>
      <c r="O16" s="594"/>
      <c r="P16" s="597"/>
      <c r="AA16" s="302" t="s">
        <v>862</v>
      </c>
      <c r="AB16" s="315" t="s">
        <v>863</v>
      </c>
      <c r="AC16" s="362" t="str">
        <f>IF(AA16=0,"",IF($A$1="D",AA16,AB16))</f>
        <v>Experten</v>
      </c>
      <c r="AD16" s="670" t="s">
        <v>463</v>
      </c>
      <c r="AE16" s="322" t="s">
        <v>464</v>
      </c>
      <c r="AF16" s="617" t="str">
        <f t="shared" si="7"/>
        <v xml:space="preserve">  = Erreicht von max. Punktzahl</v>
      </c>
    </row>
    <row r="17" spans="1:32" s="20" customFormat="1" ht="28" customHeight="1">
      <c r="A17" s="304" t="str">
        <f>AC17</f>
        <v>Beobachter</v>
      </c>
      <c r="C17" s="2211"/>
      <c r="D17" s="2211"/>
      <c r="E17" s="2211"/>
      <c r="F17" s="2094" t="str">
        <f>IF(COUNTBLANK(C17)=1,"/",VLOOKUP(C17,Liste!AC:AF,2,FALSE))</f>
        <v>/</v>
      </c>
      <c r="G17" s="2095" t="str">
        <f>IF(COUNTBLANK(C17)=1,"/",VLOOKUP(C17,Liste!AC:AF,3,FALSE))</f>
        <v>/</v>
      </c>
      <c r="H17" s="2096" t="str">
        <f>IF(COUNTBLANK(C17)=1,"/",VLOOKUP(C17,Liste!AC:AF,4,FALSE))</f>
        <v>/</v>
      </c>
      <c r="I17" s="183"/>
      <c r="J17" s="183"/>
      <c r="K17" s="1100" t="str">
        <f>IF(C17=0,"",C17&amp;", "&amp;G17&amp;" ("&amp;AC17&amp;")
")</f>
        <v/>
      </c>
      <c r="L17" s="1246"/>
      <c r="M17" s="1282"/>
      <c r="N17" s="594"/>
      <c r="O17" s="594"/>
      <c r="P17" s="597"/>
      <c r="AA17" s="302" t="s">
        <v>928</v>
      </c>
      <c r="AB17" s="315" t="s">
        <v>929</v>
      </c>
      <c r="AC17" s="362" t="str">
        <f>IF(AA17=0,"",IF($A$1="D",AA17,AB17))</f>
        <v>Beobachter</v>
      </c>
      <c r="AD17" s="670" t="s">
        <v>1352</v>
      </c>
      <c r="AE17" s="322" t="s">
        <v>1353</v>
      </c>
      <c r="AF17" s="617" t="str">
        <f t="shared" si="7"/>
        <v>Zusammenfassung: Spalte L ausfüllen  →</v>
      </c>
    </row>
    <row r="18" spans="1:32" s="20" customFormat="1" ht="17" customHeight="1">
      <c r="A18" s="304"/>
      <c r="C18" s="444"/>
      <c r="D18" s="444"/>
      <c r="E18" s="592"/>
      <c r="F18" s="444"/>
      <c r="G18" s="370"/>
      <c r="H18" s="759"/>
      <c r="I18" s="183"/>
      <c r="J18" s="183"/>
      <c r="K18" s="743"/>
      <c r="L18" s="1246"/>
      <c r="M18" s="1282"/>
      <c r="N18" s="594"/>
      <c r="O18" s="594"/>
      <c r="P18" s="597"/>
      <c r="AA18" s="302" t="s">
        <v>991</v>
      </c>
      <c r="AB18" s="315" t="s">
        <v>990</v>
      </c>
      <c r="AC18" s="362" t="str">
        <f>IF(AA18=0,"",IF($A$1="D",AA18,AB18))</f>
        <v>Name Excel-Datei:</v>
      </c>
      <c r="AD18" s="670" t="s">
        <v>776</v>
      </c>
      <c r="AE18" s="616" t="s">
        <v>777</v>
      </c>
      <c r="AF18" s="617" t="str">
        <f t="shared" si="7"/>
        <v xml:space="preserve">Datensatz Kriterien Visitation unvollständig. Noch auszufüllen:  </v>
      </c>
    </row>
    <row r="19" spans="1:32" s="20" customFormat="1" ht="28" customHeight="1">
      <c r="A19" s="452" t="str">
        <f>AC$19&amp;" 1"</f>
        <v>Teilnehmer 1</v>
      </c>
      <c r="C19" s="2268">
        <f>'1 ANTRAG-DEMANDE'!B79</f>
        <v>0</v>
      </c>
      <c r="D19" s="2268"/>
      <c r="E19" s="2268"/>
      <c r="F19" s="2133"/>
      <c r="G19" s="370"/>
      <c r="H19" s="2096" t="str">
        <f>'1 ANTRAG-DEMANDE'!B82</f>
        <v>@</v>
      </c>
      <c r="I19" s="183"/>
      <c r="J19" s="183"/>
      <c r="K19" s="1100" t="str">
        <f>IF(C19=0,"",C19&amp;", "&amp;F19&amp;";  
")</f>
        <v/>
      </c>
      <c r="L19" s="1246"/>
      <c r="M19" s="1282"/>
      <c r="N19" s="594"/>
      <c r="O19" s="594"/>
      <c r="P19" s="597"/>
      <c r="AA19" s="302" t="s">
        <v>781</v>
      </c>
      <c r="AB19" s="315" t="s">
        <v>782</v>
      </c>
      <c r="AC19" s="362" t="str">
        <f t="shared" ref="AC19:AC48" si="8">IF(AA19=0,"",IF($A$1="D",AA19,AB19))</f>
        <v>Teilnehmer</v>
      </c>
      <c r="AD19" s="670" t="s">
        <v>769</v>
      </c>
      <c r="AE19" s="616" t="s">
        <v>770</v>
      </c>
      <c r="AF19" s="617" t="str">
        <f t="shared" si="7"/>
        <v>Datensatz Kriterien Visitation vollständig</v>
      </c>
    </row>
    <row r="20" spans="1:32" s="20" customFormat="1" ht="28" customHeight="1">
      <c r="A20" s="452" t="str">
        <f>AC$19&amp;" 2"</f>
        <v>Teilnehmer 2</v>
      </c>
      <c r="C20" s="2268">
        <f>'1 ANTRAG-DEMANDE'!B109</f>
        <v>0</v>
      </c>
      <c r="D20" s="2268"/>
      <c r="E20" s="2268"/>
      <c r="F20" s="2133"/>
      <c r="G20" s="370"/>
      <c r="H20" s="2096" t="str">
        <f>'1 ANTRAG-DEMANDE'!B114</f>
        <v>@</v>
      </c>
      <c r="I20" s="183"/>
      <c r="J20" s="183"/>
      <c r="K20" s="1100" t="str">
        <f t="shared" ref="K20:K23" si="9">IF(C20=0,"",C20&amp;", "&amp;F20&amp;";  
")</f>
        <v/>
      </c>
      <c r="L20" s="1246"/>
      <c r="M20" s="1282"/>
      <c r="N20" s="594"/>
      <c r="O20" s="594"/>
      <c r="P20" s="597"/>
      <c r="AA20" s="302"/>
      <c r="AB20" s="315"/>
      <c r="AC20" s="362"/>
      <c r="AD20" s="670" t="s">
        <v>1443</v>
      </c>
      <c r="AE20" s="616" t="s">
        <v>1444</v>
      </c>
      <c r="AF20" s="617" t="str">
        <f t="shared" si="7"/>
        <v>↑
Zum Ablaufen dieser Spalte per ENTER bitte Zelle oben anklicken.</v>
      </c>
    </row>
    <row r="21" spans="1:32" s="20" customFormat="1" ht="28" customHeight="1">
      <c r="A21" s="452" t="str">
        <f>AC$19&amp;" 3"</f>
        <v>Teilnehmer 3</v>
      </c>
      <c r="C21" s="2215"/>
      <c r="D21" s="2215"/>
      <c r="E21" s="2215"/>
      <c r="F21" s="2133"/>
      <c r="G21" s="370"/>
      <c r="H21" s="1734"/>
      <c r="I21" s="183"/>
      <c r="J21" s="183"/>
      <c r="K21" s="1100" t="str">
        <f t="shared" si="9"/>
        <v/>
      </c>
      <c r="L21" s="1246"/>
      <c r="M21" s="1282"/>
      <c r="N21" s="594"/>
      <c r="O21" s="594"/>
      <c r="P21" s="597"/>
      <c r="AA21" s="312" t="str">
        <f>'1 ANTRAG-DEMANDE'!AD11</f>
        <v>Kanton</v>
      </c>
      <c r="AB21" s="316" t="str">
        <f>'1 ANTRAG-DEMANDE'!AE11</f>
        <v>Canton</v>
      </c>
      <c r="AC21" s="362" t="str">
        <f>IF(AA21=0,"",IF($A$1="D",AA21,AB21))</f>
        <v>Kanton</v>
      </c>
      <c r="AD21" s="670" t="s">
        <v>1574</v>
      </c>
      <c r="AE21" s="616" t="s">
        <v>1575</v>
      </c>
      <c r="AF21" s="617" t="str">
        <f t="shared" si="7"/>
        <v>Bericht OHNE Visitation: bitte leerlassen</v>
      </c>
    </row>
    <row r="22" spans="1:32" s="20" customFormat="1" ht="28" customHeight="1">
      <c r="A22" s="452" t="str">
        <f>AC$19&amp;" 4"</f>
        <v>Teilnehmer 4</v>
      </c>
      <c r="C22" s="2215"/>
      <c r="D22" s="2215"/>
      <c r="E22" s="2215"/>
      <c r="F22" s="2133"/>
      <c r="G22" s="370"/>
      <c r="I22" s="183"/>
      <c r="J22" s="183"/>
      <c r="K22" s="1100" t="str">
        <f t="shared" si="9"/>
        <v/>
      </c>
      <c r="L22" s="1246"/>
      <c r="M22" s="1282"/>
      <c r="N22" s="594"/>
      <c r="O22" s="594"/>
      <c r="P22" s="597"/>
      <c r="AA22" s="312" t="str">
        <f>'1 ANTRAG-DEMANDE'!AD12</f>
        <v>Stadt</v>
      </c>
      <c r="AB22" s="316" t="str">
        <f>'1 ANTRAG-DEMANDE'!AE12</f>
        <v>Ville</v>
      </c>
      <c r="AC22" s="362" t="str">
        <f>IF(AA22=0,"",IF($A$1="D",AA22,AB22))</f>
        <v>Stadt</v>
      </c>
      <c r="AD22" s="302" t="s">
        <v>813</v>
      </c>
      <c r="AE22" s="315" t="s">
        <v>1541</v>
      </c>
      <c r="AF22" s="362" t="str">
        <f t="shared" ref="AF22:AF23" si="10">IF(AD22=0,"",IF($A$1="D",AD22,AE22))</f>
        <v>dd.mm.yyyy</v>
      </c>
    </row>
    <row r="23" spans="1:32" s="20" customFormat="1" ht="27.75" customHeight="1">
      <c r="A23" s="452" t="str">
        <f>AC$19&amp;" 5"</f>
        <v>Teilnehmer 5</v>
      </c>
      <c r="C23" s="2215"/>
      <c r="D23" s="2215"/>
      <c r="E23" s="2215"/>
      <c r="F23" s="2133"/>
      <c r="G23" s="370"/>
      <c r="I23" s="183"/>
      <c r="J23" s="183"/>
      <c r="K23" s="1100" t="str">
        <f t="shared" si="9"/>
        <v/>
      </c>
      <c r="L23" s="1246"/>
      <c r="M23" s="1282"/>
      <c r="N23" s="594"/>
      <c r="O23" s="594"/>
      <c r="P23" s="597"/>
      <c r="AA23" s="312" t="str">
        <f>'1 ANTRAG-DEMANDE'!AD13</f>
        <v>Spital</v>
      </c>
      <c r="AB23" s="316" t="str">
        <f>'1 ANTRAG-DEMANDE'!AE13</f>
        <v>Hôpital</v>
      </c>
      <c r="AC23" s="362" t="str">
        <f>IF(AA23=0,"",IF($A$1="D",AA23,AB23))</f>
        <v>Spital</v>
      </c>
      <c r="AD23" s="321" t="s">
        <v>1576</v>
      </c>
      <c r="AE23" s="322" t="s">
        <v>1576</v>
      </c>
      <c r="AF23" s="362" t="str">
        <f t="shared" si="10"/>
        <v>hh:mm</v>
      </c>
    </row>
    <row r="24" spans="1:32" s="20" customFormat="1" ht="28" customHeight="1">
      <c r="A24" s="452" t="str">
        <f>AC$19&amp;" 6"</f>
        <v>Teilnehmer 6</v>
      </c>
      <c r="C24" s="2215"/>
      <c r="D24" s="2215"/>
      <c r="E24" s="2215"/>
      <c r="F24" s="2133"/>
      <c r="G24" s="370"/>
      <c r="I24" s="183"/>
      <c r="J24" s="183"/>
      <c r="K24" s="1100" t="str">
        <f t="shared" ref="K24:K28" si="11">IF(C24=0,"",C24&amp;", "&amp;F24&amp;"
")</f>
        <v/>
      </c>
      <c r="L24" s="1246"/>
      <c r="M24" s="1282"/>
      <c r="N24" s="594"/>
      <c r="O24" s="594"/>
      <c r="P24" s="597"/>
      <c r="AA24" s="312" t="str">
        <f>'1 ANTRAG-DEMANDE'!AD15</f>
        <v>Station</v>
      </c>
      <c r="AB24" s="316" t="str">
        <f>'1 ANTRAG-DEMANDE'!AE15</f>
        <v>Unité</v>
      </c>
      <c r="AC24" s="362" t="str">
        <f>IF(AA24=0,"",IF($A$1="D",AA24,AB24))</f>
        <v>Station</v>
      </c>
      <c r="AD24" s="321"/>
      <c r="AE24" s="322"/>
      <c r="AF24" s="362"/>
    </row>
    <row r="25" spans="1:32" s="20" customFormat="1" ht="28" customHeight="1">
      <c r="A25" s="452" t="str">
        <f>AC$19&amp;" 7"</f>
        <v>Teilnehmer 7</v>
      </c>
      <c r="C25" s="2215"/>
      <c r="D25" s="2215"/>
      <c r="E25" s="2215"/>
      <c r="F25" s="2133"/>
      <c r="G25" s="370"/>
      <c r="I25" s="183"/>
      <c r="J25" s="183"/>
      <c r="K25" s="1100" t="str">
        <f t="shared" si="11"/>
        <v/>
      </c>
      <c r="L25" s="1246"/>
      <c r="M25" s="1282"/>
      <c r="N25" s="594"/>
      <c r="O25" s="594"/>
      <c r="P25" s="597"/>
      <c r="AA25" s="302"/>
      <c r="AB25" s="315"/>
      <c r="AC25" s="362"/>
      <c r="AD25" s="670"/>
      <c r="AE25" s="616"/>
      <c r="AF25" s="617"/>
    </row>
    <row r="26" spans="1:32" s="20" customFormat="1" ht="28" customHeight="1">
      <c r="A26" s="452" t="str">
        <f>AC$19&amp;" 8"</f>
        <v>Teilnehmer 8</v>
      </c>
      <c r="C26" s="2215"/>
      <c r="D26" s="2215"/>
      <c r="E26" s="2215"/>
      <c r="F26" s="2133"/>
      <c r="G26" s="370"/>
      <c r="I26" s="183"/>
      <c r="J26" s="183"/>
      <c r="K26" s="1100" t="str">
        <f t="shared" si="11"/>
        <v/>
      </c>
      <c r="L26" s="1246"/>
      <c r="M26" s="1282"/>
      <c r="N26" s="594"/>
      <c r="O26" s="594"/>
      <c r="P26" s="597"/>
      <c r="AA26" s="302"/>
      <c r="AB26" s="315"/>
      <c r="AC26" s="362"/>
      <c r="AD26" s="670"/>
      <c r="AE26" s="616"/>
      <c r="AF26" s="617"/>
    </row>
    <row r="27" spans="1:32" s="20" customFormat="1" ht="28" customHeight="1">
      <c r="A27" s="452" t="str">
        <f>AC$19&amp;" 9"</f>
        <v>Teilnehmer 9</v>
      </c>
      <c r="C27" s="2215"/>
      <c r="D27" s="2215"/>
      <c r="E27" s="2215"/>
      <c r="F27" s="2133"/>
      <c r="G27" s="370"/>
      <c r="I27" s="183"/>
      <c r="J27" s="183"/>
      <c r="K27" s="1100" t="str">
        <f t="shared" si="11"/>
        <v/>
      </c>
      <c r="L27" s="1246"/>
      <c r="M27" s="1282"/>
      <c r="N27" s="594"/>
      <c r="O27" s="594"/>
      <c r="P27" s="597"/>
      <c r="AA27" s="302"/>
      <c r="AB27" s="315"/>
      <c r="AC27" s="362"/>
      <c r="AD27" s="670"/>
      <c r="AE27" s="616"/>
      <c r="AF27" s="617"/>
    </row>
    <row r="28" spans="1:32" s="20" customFormat="1" ht="28" customHeight="1">
      <c r="A28" s="452" t="str">
        <f>AC$19&amp;" 10"</f>
        <v>Teilnehmer 10</v>
      </c>
      <c r="C28" s="2215"/>
      <c r="D28" s="2215"/>
      <c r="E28" s="2215"/>
      <c r="F28" s="2133"/>
      <c r="G28" s="370"/>
      <c r="I28" s="183"/>
      <c r="J28" s="183"/>
      <c r="K28" s="1100" t="str">
        <f t="shared" si="11"/>
        <v/>
      </c>
      <c r="L28" s="1246"/>
      <c r="M28" s="1282"/>
      <c r="N28" s="594"/>
      <c r="O28" s="594"/>
      <c r="P28" s="597"/>
      <c r="AA28" s="302"/>
      <c r="AB28" s="315"/>
      <c r="AC28" s="362"/>
      <c r="AD28" s="670"/>
      <c r="AE28" s="616"/>
      <c r="AF28" s="617"/>
    </row>
    <row r="29" spans="1:32" s="20" customFormat="1" ht="12.75" customHeight="1">
      <c r="A29" s="303"/>
      <c r="C29" s="451"/>
      <c r="D29" s="156"/>
      <c r="E29" s="182"/>
      <c r="G29" s="370"/>
      <c r="H29" s="143"/>
      <c r="I29" s="183"/>
      <c r="J29" s="183"/>
      <c r="K29" s="158"/>
      <c r="L29" s="1246"/>
      <c r="M29" s="1282"/>
      <c r="N29" s="594"/>
      <c r="O29" s="594"/>
      <c r="P29" s="597"/>
      <c r="AA29" s="302"/>
      <c r="AB29" s="315"/>
      <c r="AC29" s="362"/>
      <c r="AD29" s="670"/>
      <c r="AE29" s="616"/>
      <c r="AF29" s="617"/>
    </row>
    <row r="30" spans="1:32" s="18" customFormat="1" ht="21.75" customHeight="1">
      <c r="A30" s="656" t="str">
        <f>AC30</f>
        <v>Vorgeschichte: kann auch von IMK ausgefüllt werden (bei Erhalt der Datei)</v>
      </c>
      <c r="B30" s="657"/>
      <c r="C30" s="658"/>
      <c r="D30" s="659"/>
      <c r="E30" s="660"/>
      <c r="F30" s="657"/>
      <c r="G30" s="27"/>
      <c r="H30" s="141"/>
      <c r="I30" s="23"/>
      <c r="J30" s="23"/>
      <c r="K30" s="145"/>
      <c r="L30" s="1247"/>
      <c r="M30" s="1293"/>
      <c r="N30" s="1294"/>
      <c r="O30" s="1294"/>
      <c r="P30" s="1295"/>
      <c r="AA30" s="302" t="s">
        <v>927</v>
      </c>
      <c r="AB30" s="315" t="s">
        <v>926</v>
      </c>
      <c r="AC30" s="362" t="str">
        <f>IF(AA30=0,"",IF($A$1="D",AA30,AB30))</f>
        <v>Vorgeschichte: kann auch von IMK ausgefüllt werden (bei Erhalt der Datei)</v>
      </c>
      <c r="AD30" s="670"/>
      <c r="AE30" s="616"/>
      <c r="AF30" s="617"/>
    </row>
    <row r="31" spans="1:32" s="20" customFormat="1" ht="17" customHeight="1">
      <c r="A31" s="303"/>
      <c r="C31" s="1035" t="str">
        <f>AC31</f>
        <v>Datum</v>
      </c>
      <c r="D31" s="371" t="str">
        <f>AF31</f>
        <v>Text</v>
      </c>
      <c r="E31" s="182"/>
      <c r="G31" s="370"/>
      <c r="H31" s="143"/>
      <c r="I31" s="183"/>
      <c r="J31" s="183"/>
      <c r="K31" s="158"/>
      <c r="L31" s="1246"/>
      <c r="M31" s="1282"/>
      <c r="N31" s="594"/>
      <c r="O31" s="594"/>
      <c r="P31" s="597"/>
      <c r="AA31" s="302" t="s">
        <v>1185</v>
      </c>
      <c r="AB31" s="315" t="s">
        <v>1183</v>
      </c>
      <c r="AC31" s="362" t="str">
        <f>IF(AA31=0,"",IF($A$1="D",AA31,AB31))</f>
        <v>Datum</v>
      </c>
      <c r="AD31" s="670" t="s">
        <v>1186</v>
      </c>
      <c r="AE31" s="616" t="s">
        <v>1184</v>
      </c>
      <c r="AF31" s="362" t="str">
        <f>IF(AD31=0,"",IF($A$1="D",AD31,AE31))</f>
        <v>Text</v>
      </c>
    </row>
    <row r="32" spans="1:32" s="20" customFormat="1" ht="28" customHeight="1">
      <c r="A32" s="452" t="str">
        <f>AC$32&amp;" 1"</f>
        <v>Vorgeschichte 1</v>
      </c>
      <c r="C32" s="558"/>
      <c r="D32" s="2210"/>
      <c r="E32" s="2210"/>
      <c r="F32" s="2210"/>
      <c r="I32" s="1102" t="str">
        <f t="shared" ref="I32:I41" si="12">IF(DAY(C32)&lt;10,"0","")&amp;DAY(C32)&amp;"."&amp;IF(MONTH(C32)&lt;10,"0","")&amp;MONTH(C32)&amp;"."&amp;YEAR(C32)</f>
        <v>00.01.1900</v>
      </c>
      <c r="J32" s="183"/>
      <c r="K32" s="1100" t="str">
        <f>IF(C32=0,"",I32&amp;"  "&amp;D32&amp;"
")</f>
        <v/>
      </c>
      <c r="L32" s="1246"/>
      <c r="M32" s="1282"/>
      <c r="N32" s="594"/>
      <c r="O32" s="594"/>
      <c r="P32" s="597"/>
      <c r="AA32" s="302" t="s">
        <v>917</v>
      </c>
      <c r="AB32" s="315" t="s">
        <v>918</v>
      </c>
      <c r="AC32" s="362" t="str">
        <f>IF(AA32=0,"",IF($A$1="D",AA32,AB32))</f>
        <v>Vorgeschichte</v>
      </c>
      <c r="AD32" s="670"/>
      <c r="AE32" s="616"/>
      <c r="AF32" s="617"/>
    </row>
    <row r="33" spans="1:32" s="20" customFormat="1" ht="28" customHeight="1">
      <c r="A33" s="452" t="str">
        <f>AC$32&amp;" 2"</f>
        <v>Vorgeschichte 2</v>
      </c>
      <c r="C33" s="558"/>
      <c r="D33" s="2210"/>
      <c r="E33" s="2210"/>
      <c r="F33" s="2210"/>
      <c r="I33" s="1102" t="str">
        <f t="shared" si="12"/>
        <v>00.01.1900</v>
      </c>
      <c r="J33" s="183"/>
      <c r="K33" s="1100" t="str">
        <f t="shared" ref="K33:K41" si="13">IF(C33=0,"",I33&amp;"  "&amp;D33&amp;"
")</f>
        <v/>
      </c>
      <c r="L33" s="1246"/>
      <c r="M33" s="1282"/>
      <c r="N33" s="594"/>
      <c r="O33" s="594"/>
      <c r="P33" s="597"/>
      <c r="AA33" s="302"/>
      <c r="AB33" s="315"/>
      <c r="AC33" s="362"/>
      <c r="AD33" s="670"/>
      <c r="AE33" s="616"/>
      <c r="AF33" s="617"/>
    </row>
    <row r="34" spans="1:32" s="20" customFormat="1" ht="28" customHeight="1">
      <c r="A34" s="452" t="str">
        <f>AC$32&amp;" 3"</f>
        <v>Vorgeschichte 3</v>
      </c>
      <c r="C34" s="558"/>
      <c r="D34" s="2210"/>
      <c r="E34" s="2210"/>
      <c r="F34" s="2210"/>
      <c r="I34" s="1102" t="str">
        <f t="shared" si="12"/>
        <v>00.01.1900</v>
      </c>
      <c r="J34" s="183"/>
      <c r="K34" s="1100" t="str">
        <f t="shared" si="13"/>
        <v/>
      </c>
      <c r="L34" s="1246"/>
      <c r="M34" s="1282"/>
      <c r="N34" s="594"/>
      <c r="O34" s="594"/>
      <c r="P34" s="597"/>
      <c r="AA34" s="302"/>
      <c r="AB34" s="315"/>
      <c r="AC34" s="362"/>
      <c r="AD34" s="670"/>
      <c r="AE34" s="616"/>
      <c r="AF34" s="617"/>
    </row>
    <row r="35" spans="1:32" s="20" customFormat="1" ht="28" customHeight="1">
      <c r="A35" s="452" t="str">
        <f>AC$32&amp;" 4"</f>
        <v>Vorgeschichte 4</v>
      </c>
      <c r="C35" s="558"/>
      <c r="D35" s="2210"/>
      <c r="E35" s="2210"/>
      <c r="F35" s="2210"/>
      <c r="I35" s="1102" t="str">
        <f t="shared" si="12"/>
        <v>00.01.1900</v>
      </c>
      <c r="J35" s="183"/>
      <c r="K35" s="1100" t="str">
        <f t="shared" si="13"/>
        <v/>
      </c>
      <c r="L35" s="1246"/>
      <c r="M35" s="1282"/>
      <c r="N35" s="594"/>
      <c r="O35" s="594"/>
      <c r="P35" s="597"/>
      <c r="AA35" s="302"/>
      <c r="AB35" s="315"/>
      <c r="AC35" s="362"/>
      <c r="AD35" s="670"/>
      <c r="AE35" s="616"/>
      <c r="AF35" s="617"/>
    </row>
    <row r="36" spans="1:32" s="20" customFormat="1" ht="28" customHeight="1">
      <c r="A36" s="452" t="str">
        <f>AC$32&amp;" 5"</f>
        <v>Vorgeschichte 5</v>
      </c>
      <c r="C36" s="558"/>
      <c r="D36" s="2210"/>
      <c r="E36" s="2210"/>
      <c r="F36" s="2210"/>
      <c r="I36" s="1102" t="str">
        <f t="shared" si="12"/>
        <v>00.01.1900</v>
      </c>
      <c r="J36" s="183"/>
      <c r="K36" s="1100" t="str">
        <f t="shared" si="13"/>
        <v/>
      </c>
      <c r="L36" s="1246"/>
      <c r="M36" s="1282"/>
      <c r="N36" s="594"/>
      <c r="O36" s="594"/>
      <c r="P36" s="597"/>
      <c r="AA36" s="302"/>
      <c r="AB36" s="315"/>
      <c r="AC36" s="362"/>
      <c r="AD36" s="670"/>
      <c r="AE36" s="616"/>
      <c r="AF36" s="617"/>
    </row>
    <row r="37" spans="1:32" s="20" customFormat="1" ht="28" customHeight="1">
      <c r="A37" s="452" t="str">
        <f>AC$32&amp;" 6"</f>
        <v>Vorgeschichte 6</v>
      </c>
      <c r="C37" s="558"/>
      <c r="D37" s="2210"/>
      <c r="E37" s="2210"/>
      <c r="F37" s="2210"/>
      <c r="I37" s="1102" t="str">
        <f t="shared" si="12"/>
        <v>00.01.1900</v>
      </c>
      <c r="J37" s="183"/>
      <c r="K37" s="1100" t="str">
        <f t="shared" si="13"/>
        <v/>
      </c>
      <c r="L37" s="1246"/>
      <c r="M37" s="1282"/>
      <c r="N37" s="594"/>
      <c r="O37" s="594"/>
      <c r="P37" s="597"/>
      <c r="AA37" s="302"/>
      <c r="AB37" s="315"/>
      <c r="AC37" s="362"/>
      <c r="AD37" s="670"/>
      <c r="AE37" s="616"/>
      <c r="AF37" s="617"/>
    </row>
    <row r="38" spans="1:32" s="20" customFormat="1" ht="28" customHeight="1">
      <c r="A38" s="452" t="str">
        <f>AC$32&amp;" 7"</f>
        <v>Vorgeschichte 7</v>
      </c>
      <c r="C38" s="558"/>
      <c r="D38" s="2210"/>
      <c r="E38" s="2210"/>
      <c r="F38" s="2210"/>
      <c r="I38" s="1102" t="str">
        <f t="shared" si="12"/>
        <v>00.01.1900</v>
      </c>
      <c r="J38" s="183"/>
      <c r="K38" s="1100" t="str">
        <f t="shared" si="13"/>
        <v/>
      </c>
      <c r="L38" s="1246"/>
      <c r="M38" s="1282"/>
      <c r="N38" s="594"/>
      <c r="O38" s="594"/>
      <c r="P38" s="597"/>
      <c r="AA38" s="302"/>
      <c r="AB38" s="315"/>
      <c r="AC38" s="362"/>
      <c r="AD38" s="670"/>
      <c r="AE38" s="616"/>
      <c r="AF38" s="617"/>
    </row>
    <row r="39" spans="1:32" s="20" customFormat="1" ht="28" customHeight="1">
      <c r="A39" s="452" t="str">
        <f>AC$32&amp;" 8"</f>
        <v>Vorgeschichte 8</v>
      </c>
      <c r="C39" s="558"/>
      <c r="D39" s="2210"/>
      <c r="E39" s="2210"/>
      <c r="F39" s="2210"/>
      <c r="I39" s="1102" t="str">
        <f t="shared" si="12"/>
        <v>00.01.1900</v>
      </c>
      <c r="J39" s="183"/>
      <c r="K39" s="1100" t="str">
        <f t="shared" si="13"/>
        <v/>
      </c>
      <c r="L39" s="1246"/>
      <c r="M39" s="1282"/>
      <c r="N39" s="594"/>
      <c r="O39" s="594"/>
      <c r="P39" s="597"/>
      <c r="AA39" s="302"/>
      <c r="AB39" s="315"/>
      <c r="AC39" s="362"/>
      <c r="AD39" s="670"/>
      <c r="AE39" s="616"/>
      <c r="AF39" s="617"/>
    </row>
    <row r="40" spans="1:32" s="20" customFormat="1" ht="28" customHeight="1">
      <c r="A40" s="452" t="str">
        <f>AC$32&amp;" 9"</f>
        <v>Vorgeschichte 9</v>
      </c>
      <c r="C40" s="558"/>
      <c r="D40" s="2210"/>
      <c r="E40" s="2210"/>
      <c r="F40" s="2210"/>
      <c r="I40" s="1102" t="str">
        <f t="shared" si="12"/>
        <v>00.01.1900</v>
      </c>
      <c r="J40" s="183"/>
      <c r="K40" s="1100" t="str">
        <f t="shared" si="13"/>
        <v/>
      </c>
      <c r="L40" s="1246"/>
      <c r="M40" s="1282"/>
      <c r="N40" s="594"/>
      <c r="O40" s="594"/>
      <c r="P40" s="597"/>
      <c r="AA40" s="302"/>
      <c r="AB40" s="315"/>
      <c r="AC40" s="362"/>
      <c r="AD40" s="670"/>
      <c r="AE40" s="616"/>
      <c r="AF40" s="617"/>
    </row>
    <row r="41" spans="1:32" s="20" customFormat="1" ht="28" customHeight="1">
      <c r="A41" s="452" t="str">
        <f>AC$32&amp;" 10"</f>
        <v>Vorgeschichte 10</v>
      </c>
      <c r="C41" s="558"/>
      <c r="D41" s="2210"/>
      <c r="E41" s="2210"/>
      <c r="F41" s="2210"/>
      <c r="I41" s="1102" t="str">
        <f t="shared" si="12"/>
        <v>00.01.1900</v>
      </c>
      <c r="J41" s="183"/>
      <c r="K41" s="1100" t="str">
        <f t="shared" si="13"/>
        <v/>
      </c>
      <c r="L41" s="1246"/>
      <c r="M41" s="1282"/>
      <c r="N41" s="594"/>
      <c r="O41" s="594"/>
      <c r="P41" s="597"/>
      <c r="AA41" s="302"/>
      <c r="AB41" s="315"/>
      <c r="AC41" s="362"/>
      <c r="AD41" s="670"/>
      <c r="AE41" s="616"/>
      <c r="AF41" s="617"/>
    </row>
    <row r="42" spans="1:32" s="20" customFormat="1" ht="15.75" customHeight="1">
      <c r="A42" s="303"/>
      <c r="C42" s="1035" t="str">
        <f>AC31</f>
        <v>Datum</v>
      </c>
      <c r="D42" s="371" t="str">
        <f>AF31</f>
        <v>Text</v>
      </c>
      <c r="E42" s="182"/>
      <c r="G42" s="370"/>
      <c r="H42" s="143"/>
      <c r="I42" s="183"/>
      <c r="J42" s="183"/>
      <c r="K42" s="158"/>
      <c r="L42" s="1246"/>
      <c r="M42" s="1282"/>
      <c r="N42" s="594"/>
      <c r="O42" s="594"/>
      <c r="P42" s="597"/>
      <c r="AA42" s="312"/>
      <c r="AB42" s="316"/>
      <c r="AC42" s="362" t="str">
        <f t="shared" ref="AC42" si="14">IF(AA42=0,"",IF($A$1="D",AA42,AB42))</f>
        <v/>
      </c>
      <c r="AD42" s="670"/>
      <c r="AE42" s="616"/>
      <c r="AF42" s="617"/>
    </row>
    <row r="43" spans="1:32" s="20" customFormat="1" ht="28" customHeight="1">
      <c r="A43" s="452" t="str">
        <f>AC$43&amp;" 1"</f>
        <v>Ereignisse nach der Visite 1</v>
      </c>
      <c r="C43" s="558"/>
      <c r="D43" s="2210"/>
      <c r="E43" s="2210"/>
      <c r="F43" s="2210"/>
      <c r="I43" s="1102" t="str">
        <f>IF(DAY(C43)&lt;10,"0","")&amp;DAY(C43)&amp;"."&amp;IF(MONTH(C43)&lt;10,"0","")&amp;MONTH(C43)&amp;"."&amp;YEAR(C43)</f>
        <v>00.01.1900</v>
      </c>
      <c r="J43" s="183"/>
      <c r="K43" s="1100" t="str">
        <f>IF(C43=0,"",I43&amp;"  "&amp;D43&amp;"
")</f>
        <v/>
      </c>
      <c r="L43" s="1246"/>
      <c r="M43" s="1282"/>
      <c r="N43" s="594"/>
      <c r="O43" s="594"/>
      <c r="P43" s="597"/>
      <c r="AA43" s="302" t="s">
        <v>919</v>
      </c>
      <c r="AB43" s="315" t="s">
        <v>920</v>
      </c>
      <c r="AC43" s="362" t="str">
        <f t="shared" si="4"/>
        <v>Ereignisse nach der Visite</v>
      </c>
      <c r="AD43" s="670"/>
      <c r="AE43" s="616"/>
      <c r="AF43" s="617"/>
    </row>
    <row r="44" spans="1:32" s="20" customFormat="1" ht="28" customHeight="1">
      <c r="A44" s="452" t="str">
        <f>AC$43&amp;" 2"</f>
        <v>Ereignisse nach der Visite 2</v>
      </c>
      <c r="C44" s="558"/>
      <c r="D44" s="2210"/>
      <c r="E44" s="2210"/>
      <c r="F44" s="2210"/>
      <c r="I44" s="1102" t="str">
        <f>IF(DAY(C44)&lt;10,"0","")&amp;DAY(C44)&amp;"."&amp;IF(MONTH(C44)&lt;10,"0","")&amp;MONTH(C44)&amp;"."&amp;YEAR(C44)</f>
        <v>00.01.1900</v>
      </c>
      <c r="J44" s="183"/>
      <c r="K44" s="1100" t="str">
        <f>IF(C44=0,"",I44&amp;"  "&amp;D44&amp;"
")</f>
        <v/>
      </c>
      <c r="L44" s="1246"/>
      <c r="M44" s="1282"/>
      <c r="N44" s="594"/>
      <c r="O44" s="594"/>
      <c r="P44" s="597"/>
      <c r="AA44" s="302"/>
      <c r="AB44" s="315"/>
      <c r="AC44" s="362" t="str">
        <f t="shared" si="4"/>
        <v/>
      </c>
      <c r="AD44" s="670"/>
      <c r="AE44" s="616"/>
      <c r="AF44" s="617"/>
    </row>
    <row r="45" spans="1:32" s="20" customFormat="1" ht="28" customHeight="1">
      <c r="A45" s="452" t="str">
        <f>AC$43&amp;" 3"</f>
        <v>Ereignisse nach der Visite 3</v>
      </c>
      <c r="C45" s="558"/>
      <c r="D45" s="2210"/>
      <c r="E45" s="2210"/>
      <c r="F45" s="2210"/>
      <c r="I45" s="1102" t="str">
        <f>IF(DAY(C45)&lt;10,"0","")&amp;DAY(C45)&amp;"."&amp;IF(MONTH(C45)&lt;10,"0","")&amp;MONTH(C45)&amp;"."&amp;YEAR(C45)</f>
        <v>00.01.1900</v>
      </c>
      <c r="J45" s="183"/>
      <c r="K45" s="1100" t="str">
        <f>IF(C45=0,"",I45&amp;"  "&amp;D45&amp;"
")</f>
        <v/>
      </c>
      <c r="L45" s="1246"/>
      <c r="M45" s="1282"/>
      <c r="N45" s="594"/>
      <c r="O45" s="594"/>
      <c r="P45" s="597"/>
      <c r="AA45" s="302"/>
      <c r="AB45" s="315"/>
      <c r="AC45" s="362" t="str">
        <f t="shared" ref="AC45" si="15">IF(AA45=0,"",IF($A$1="D",AA45,AB45))</f>
        <v/>
      </c>
      <c r="AD45" s="670"/>
      <c r="AE45" s="616"/>
      <c r="AF45" s="617"/>
    </row>
    <row r="46" spans="1:32" s="20" customFormat="1" ht="16.5" customHeight="1">
      <c r="A46" s="303"/>
      <c r="C46" s="451"/>
      <c r="D46" s="156"/>
      <c r="E46" s="182"/>
      <c r="G46" s="370"/>
      <c r="H46" s="143"/>
      <c r="I46" s="183"/>
      <c r="J46" s="183"/>
      <c r="K46" s="158"/>
      <c r="L46" s="1246"/>
      <c r="M46" s="1282"/>
      <c r="N46" s="594"/>
      <c r="O46" s="594"/>
      <c r="P46" s="597"/>
      <c r="AA46" s="312"/>
      <c r="AB46" s="316"/>
      <c r="AC46" s="362" t="str">
        <f t="shared" si="4"/>
        <v/>
      </c>
      <c r="AD46" s="670"/>
      <c r="AE46" s="616"/>
      <c r="AF46" s="617"/>
    </row>
    <row r="47" spans="1:32" s="20" customFormat="1" ht="28" customHeight="1">
      <c r="A47" s="303"/>
      <c r="C47" s="451"/>
      <c r="D47" s="156"/>
      <c r="E47" s="182"/>
      <c r="G47" s="370"/>
      <c r="H47" s="183"/>
      <c r="I47" s="183"/>
      <c r="J47" s="183"/>
      <c r="K47" s="158"/>
      <c r="L47" s="1246"/>
      <c r="M47" s="1282"/>
      <c r="N47" s="594"/>
      <c r="O47" s="594"/>
      <c r="P47" s="597"/>
      <c r="AA47" s="312"/>
      <c r="AB47" s="316"/>
      <c r="AC47" s="362"/>
      <c r="AD47" s="672" t="str">
        <f>'1 ANTRAG-DEMANDE'!AD18</f>
        <v>Erwachsene IS</v>
      </c>
      <c r="AE47" s="620" t="str">
        <f>'1 ANTRAG-DEMANDE'!AE18</f>
        <v>USI Adultes</v>
      </c>
      <c r="AF47" s="617" t="str">
        <f>IF(AD47=0,"",IF($A$1="D",AD47,AE47))</f>
        <v>Erwachsene IS</v>
      </c>
    </row>
    <row r="48" spans="1:32" ht="83" customHeight="1">
      <c r="H48" s="2291" t="str">
        <f>CONCATENATE(D50,"  -  ",AF103,K48)</f>
        <v>,  
, 
,   -  Bericht vom: 00.01.1900</v>
      </c>
      <c r="I48" s="2291"/>
      <c r="K48" s="1229" t="str">
        <f>IF(DAY(K358)&lt;10,"0","")&amp;DAY(K358)&amp;"."&amp;IF(MONTH(K358)&lt;10,"0","")&amp;MONTH(K358)&amp;"."&amp;YEAR(K358)</f>
        <v>00.01.1900</v>
      </c>
      <c r="L48" s="1248" t="str">
        <f>AF48</f>
        <v>Das Datum des Berichts wird am Ende eingegeben.</v>
      </c>
      <c r="M48" s="1282"/>
      <c r="N48" s="594"/>
      <c r="O48" s="594"/>
      <c r="P48" s="597"/>
      <c r="AA48" s="302" t="s">
        <v>1017</v>
      </c>
      <c r="AB48" s="315" t="s">
        <v>1016</v>
      </c>
      <c r="AC48" s="362" t="str">
        <f t="shared" si="8"/>
        <v>VISITATION</v>
      </c>
      <c r="AD48" s="670" t="s">
        <v>1577</v>
      </c>
      <c r="AE48" s="616" t="s">
        <v>1578</v>
      </c>
      <c r="AF48" s="617" t="str">
        <f>IF(AD48=0,"",IF($A$1="D",AD48,AE48))</f>
        <v>Das Datum des Berichts wird am Ende eingegeben.</v>
      </c>
    </row>
    <row r="49" spans="1:32" s="494" customFormat="1" ht="102" customHeight="1">
      <c r="A49" s="576"/>
      <c r="B49" s="576"/>
      <c r="C49" s="577"/>
      <c r="D49" s="577"/>
      <c r="E49" s="601"/>
      <c r="F49" s="2292" t="str">
        <f>IF(C9=Liste!$G$2,AC50,AC48)&amp;"
"&amp;AC49</f>
        <v xml:space="preserve">VISITATION
 -Detaillierter Bericht und Qualitätskriterien- </v>
      </c>
      <c r="G49" s="2292"/>
      <c r="H49" s="2292"/>
      <c r="I49" s="602"/>
      <c r="J49" s="602"/>
      <c r="K49" s="744"/>
      <c r="L49" s="1248"/>
      <c r="M49" s="1296"/>
      <c r="N49" s="1297"/>
      <c r="O49" s="1297"/>
      <c r="P49" s="1298"/>
      <c r="AA49" s="474" t="s">
        <v>1569</v>
      </c>
      <c r="AB49" s="475" t="s">
        <v>1570</v>
      </c>
      <c r="AC49" s="476" t="str">
        <f t="shared" si="4"/>
        <v xml:space="preserve"> -Detaillierter Bericht und Qualitätskriterien- </v>
      </c>
      <c r="AD49" s="672" t="str">
        <f>'1 ANTRAG-DEMANDE'!AD19</f>
        <v>Pädiatrische IS</v>
      </c>
      <c r="AE49" s="620" t="str">
        <f>'1 ANTRAG-DEMANDE'!AE19</f>
        <v>USI pédiatriques</v>
      </c>
      <c r="AF49" s="617" t="str">
        <f>IF(AD49=0,"",IF($A$1="D",AD49,AE49))</f>
        <v>Pädiatrische IS</v>
      </c>
    </row>
    <row r="50" spans="1:32" s="18" customFormat="1" ht="63.75" customHeight="1">
      <c r="A50" s="2225" t="str">
        <f>AC24</f>
        <v>Station</v>
      </c>
      <c r="B50" s="2225"/>
      <c r="C50" s="2225"/>
      <c r="D50" s="2225" t="str">
        <f>'1 ANTRAG-DEMANDE'!B15&amp;",  
"&amp;'1 ANTRAG-DEMANDE'!B13&amp;", 
"&amp;'1 ANTRAG-DEMANDE'!B12&amp;", "&amp;'1 ANTRAG-DEMANDE'!B11</f>
        <v xml:space="preserve">,  
, 
, </v>
      </c>
      <c r="E50" s="2225"/>
      <c r="F50" s="2225"/>
      <c r="G50" s="2225"/>
      <c r="I50" s="152"/>
      <c r="J50" s="605"/>
      <c r="K50" s="719"/>
      <c r="L50" s="1249"/>
      <c r="M50" s="1282"/>
      <c r="N50" s="594"/>
      <c r="O50" s="594"/>
      <c r="P50" s="1299"/>
      <c r="AA50" s="302" t="s">
        <v>1590</v>
      </c>
      <c r="AB50" s="315" t="s">
        <v>1568</v>
      </c>
      <c r="AC50" s="362" t="str">
        <f t="shared" si="4"/>
        <v>Aktenstudium des Dossiers ohne Visitation der IS</v>
      </c>
      <c r="AD50" s="620" t="str">
        <f>'1 ANTRAG-DEMANDE'!AD20</f>
        <v>Pädiatrische/Neonatologische IS</v>
      </c>
      <c r="AE50" s="624" t="str">
        <f>'1 ANTRAG-DEMANDE'!AE20</f>
        <v>USI pédiatriques/néonatologiques</v>
      </c>
      <c r="AF50" s="617" t="str">
        <f>IF(AD50=0,"",IF($A$1="D",AD50,AE50))</f>
        <v>Pädiatrische/Neonatologische IS</v>
      </c>
    </row>
    <row r="51" spans="1:32" ht="20" customHeight="1">
      <c r="A51" s="2222" t="str">
        <f>AC51</f>
        <v>Typ der Intensivstation</v>
      </c>
      <c r="B51" s="2222"/>
      <c r="C51" s="2222"/>
      <c r="D51" s="25" t="str">
        <f>IF(COUNTIF('1 ANTRAG-DEMANDE'!B18:B20,"x")&lt;&gt;1,AF51,IF('1 ANTRAG-DEMANDE'!B18="x",AF47,IF('1 ANTRAG-DEMANDE'!B19="x",AF49,AF50)))</f>
        <v>Fehler im Antrag  !</v>
      </c>
      <c r="E51" s="108"/>
      <c r="F51" s="108"/>
      <c r="G51" s="152" t="str">
        <f>AC16</f>
        <v>Experten</v>
      </c>
      <c r="H51" s="2244" t="e">
        <f>K14&amp;K15&amp;K16&amp;K17</f>
        <v>#N/A</v>
      </c>
      <c r="I51" s="2244"/>
      <c r="J51" s="605"/>
      <c r="L51" s="1249"/>
      <c r="M51" s="1282"/>
      <c r="N51" s="594"/>
      <c r="O51" s="594"/>
      <c r="P51" s="1299"/>
      <c r="AA51" s="312" t="str">
        <f>'1 ANTRAG-DEMANDE'!AD17</f>
        <v>Typ der Intensivstation</v>
      </c>
      <c r="AB51" s="503" t="str">
        <f>'1 ANTRAG-DEMANDE'!AE17</f>
        <v>Type d'USI</v>
      </c>
      <c r="AC51" s="362" t="str">
        <f t="shared" ref="AC51:AC52" si="16">IF(AA51=0,"",IF($A$1="D",AA51,AB51))</f>
        <v>Typ der Intensivstation</v>
      </c>
      <c r="AD51" s="318" t="s">
        <v>795</v>
      </c>
      <c r="AE51" s="319" t="s">
        <v>921</v>
      </c>
      <c r="AF51" s="314" t="str">
        <f>IF(AD51=0,"",IF('4d Report'!$A$1="D",AD51,AE51))</f>
        <v>Fehler im Antrag  !</v>
      </c>
    </row>
    <row r="52" spans="1:32" ht="20" customHeight="1">
      <c r="A52" s="2226" t="str">
        <f>AC52</f>
        <v>Bettenzahl für diesen Antrag</v>
      </c>
      <c r="B52" s="2226"/>
      <c r="C52" s="2226"/>
      <c r="D52" s="666">
        <f>'1 ANTRAG-DEMANDE'!B22</f>
        <v>0</v>
      </c>
      <c r="E52" s="108"/>
      <c r="F52" s="108"/>
      <c r="G52" s="372"/>
      <c r="H52" s="2244"/>
      <c r="I52" s="2244"/>
      <c r="J52" s="605"/>
      <c r="L52" s="1249"/>
      <c r="M52" s="1282"/>
      <c r="N52" s="594"/>
      <c r="O52" s="594"/>
      <c r="P52" s="1299"/>
      <c r="AA52" s="312" t="str">
        <f>'1 ANTRAG-DEMANDE'!AD22</f>
        <v>Bettenzahl für diesen Antrag</v>
      </c>
      <c r="AB52" s="503" t="str">
        <f>'1 ANTRAG-DEMANDE'!AE22</f>
        <v>Nombre de lits pour cette demande</v>
      </c>
      <c r="AC52" s="362" t="str">
        <f t="shared" si="16"/>
        <v>Bettenzahl für diesen Antrag</v>
      </c>
      <c r="AD52" s="318" t="s">
        <v>2596</v>
      </c>
      <c r="AE52" s="319" t="s">
        <v>1472</v>
      </c>
      <c r="AF52" s="314" t="str">
        <f>IF(AD52=0,"",IF($A$1="D",AD52,AE52))</f>
        <v>REZERTIFIZIERUNG</v>
      </c>
    </row>
    <row r="53" spans="1:32" ht="30" customHeight="1">
      <c r="A53" s="2226" t="str">
        <f>AC53</f>
        <v>Ärztliche Leitung</v>
      </c>
      <c r="B53" s="2226"/>
      <c r="C53" s="2226"/>
      <c r="D53" s="667">
        <f>'1 ANTRAG-DEMANDE'!B79</f>
        <v>0</v>
      </c>
      <c r="E53" s="667"/>
      <c r="F53" s="667"/>
      <c r="G53" s="372"/>
      <c r="H53" s="2244"/>
      <c r="I53" s="2244"/>
      <c r="J53" s="605"/>
      <c r="K53" s="720"/>
      <c r="L53" s="1249"/>
      <c r="M53" s="1282"/>
      <c r="N53" s="594"/>
      <c r="O53" s="594"/>
      <c r="P53" s="1299"/>
      <c r="AA53" s="312" t="str">
        <f>'1 ANTRAG-DEMANDE'!AD77</f>
        <v>Ärztliche Leitung</v>
      </c>
      <c r="AB53" s="503" t="str">
        <f>'1 ANTRAG-DEMANDE'!AE77</f>
        <v>Responsable médical</v>
      </c>
      <c r="AC53" s="476" t="str">
        <f t="shared" ref="AC53:AC55" si="17">IF(AA53=0,"",IF($A$1="D",AA53,AB53))</f>
        <v>Ärztliche Leitung</v>
      </c>
      <c r="AD53" s="318"/>
      <c r="AE53" s="319"/>
      <c r="AF53" s="314"/>
    </row>
    <row r="54" spans="1:32" ht="42" customHeight="1">
      <c r="A54" s="2226" t="str">
        <f>AC54</f>
        <v>Leitung Pflege (Führungsverantwortung / Management)</v>
      </c>
      <c r="B54" s="2226"/>
      <c r="C54" s="2226"/>
      <c r="D54" s="667">
        <f>'1 ANTRAG-DEMANDE'!B109</f>
        <v>0</v>
      </c>
      <c r="E54" s="667"/>
      <c r="F54" s="667"/>
      <c r="G54" s="372"/>
      <c r="H54" s="605"/>
      <c r="I54" s="605"/>
      <c r="J54" s="605"/>
      <c r="K54" s="720"/>
      <c r="L54" s="1249"/>
      <c r="M54" s="1282"/>
      <c r="N54" s="594"/>
      <c r="O54" s="594"/>
      <c r="P54" s="1299"/>
      <c r="AA54" s="312" t="str">
        <f>'1 ANTRAG-DEMANDE'!AD108</f>
        <v>Leitung Pflege (Führungsverantwortung / Management)</v>
      </c>
      <c r="AB54" s="503" t="str">
        <f>'1 ANTRAG-DEMANDE'!AE108</f>
        <v>Responsable infirmier Soins (cadre)</v>
      </c>
      <c r="AC54" s="476" t="str">
        <f t="shared" si="17"/>
        <v>Leitung Pflege (Führungsverantwortung / Management)</v>
      </c>
      <c r="AD54" s="318" t="s">
        <v>2595</v>
      </c>
      <c r="AE54" s="319" t="s">
        <v>930</v>
      </c>
      <c r="AF54" s="314" t="str">
        <f>IF(AD54=0,"",IF($A$1="D",AD54,AE54))</f>
        <v>NEUZERTIFIZIERUNG</v>
      </c>
    </row>
    <row r="55" spans="1:32" ht="34.5" customHeight="1">
      <c r="A55" s="2222" t="str">
        <f>AC55</f>
        <v>Grund des Antrags auf Zertifizierung</v>
      </c>
      <c r="B55" s="2222"/>
      <c r="C55" s="2222"/>
      <c r="D55" s="25" t="str">
        <f>IF('1 ANTRAG-DEMANDE'!B26=Liste!G3,AF54,IF('1 ANTRAG-DEMANDE'!B26=Liste!G2,AF52,AF51))</f>
        <v>Fehler im Antrag  !</v>
      </c>
      <c r="E55" s="108"/>
      <c r="F55" s="108"/>
      <c r="G55" s="372"/>
      <c r="H55" s="152"/>
      <c r="I55" s="152"/>
      <c r="J55" s="152"/>
      <c r="L55" s="1250"/>
      <c r="M55" s="1282"/>
      <c r="N55" s="594"/>
      <c r="O55" s="594"/>
      <c r="P55" s="1299"/>
      <c r="AA55" s="474" t="s">
        <v>2597</v>
      </c>
      <c r="AB55" s="475" t="s">
        <v>1593</v>
      </c>
      <c r="AC55" s="476" t="str">
        <f t="shared" si="17"/>
        <v>Grund des Antrags auf Zertifizierung</v>
      </c>
      <c r="AD55" s="318"/>
      <c r="AE55" s="319"/>
      <c r="AF55" s="314" t="str">
        <f>IF(AD55=0,"",IF('4d Report'!$A$1="D",AD55,AE55))</f>
        <v/>
      </c>
    </row>
    <row r="56" spans="1:32" ht="20" customHeight="1">
      <c r="A56" s="604"/>
      <c r="B56" s="604"/>
      <c r="C56" s="604"/>
      <c r="D56" s="2283" t="str">
        <f>K56&amp;K57&amp;K58&amp;K59&amp;K60&amp;K61&amp;K68</f>
        <v/>
      </c>
      <c r="E56" s="2283"/>
      <c r="F56" s="2283"/>
      <c r="G56" s="2244" t="str">
        <f>AC58</f>
        <v>Teilnehmer Station / Spital</v>
      </c>
      <c r="H56" s="2244" t="str">
        <f>IF(C9=Liste!$G$2,"/",K19&amp;K20&amp;K21&amp;K22&amp;K23&amp;K24&amp;K25&amp;K26&amp;K27&amp;K28)</f>
        <v/>
      </c>
      <c r="I56" s="2244"/>
      <c r="J56" s="605"/>
      <c r="K56" s="1103" t="str">
        <f>IF('1 ANTRAG-DEMANDE'!B33=0,"","  - "&amp;AF56&amp;"
")</f>
        <v/>
      </c>
      <c r="L56" s="1249"/>
      <c r="M56" s="1282"/>
      <c r="N56" s="594"/>
      <c r="O56" s="594"/>
      <c r="P56" s="1299"/>
      <c r="AC56" s="362" t="str">
        <f t="shared" ref="AC56:AC101" si="18">IF(AA56=0,"",IF($A$1="D",AA56,AB56))</f>
        <v/>
      </c>
      <c r="AD56" s="620" t="str">
        <f>'1 ANTRAG-DEMANDE'!AD33</f>
        <v>Ablauf des Zertifikats</v>
      </c>
      <c r="AE56" s="624" t="str">
        <f>'1 ANTRAG-DEMANDE'!AE33</f>
        <v>Fin du Certificat</v>
      </c>
      <c r="AF56" s="314" t="str">
        <f t="shared" ref="AF56:AF68" si="19">IF(AD56=0,"",IF($A$1="D",AD56,AE56))</f>
        <v>Ablauf des Zertifikats</v>
      </c>
    </row>
    <row r="57" spans="1:32" ht="20" customHeight="1">
      <c r="A57" s="604"/>
      <c r="B57" s="604"/>
      <c r="C57" s="604"/>
      <c r="D57" s="2283"/>
      <c r="E57" s="2283"/>
      <c r="F57" s="2283"/>
      <c r="G57" s="2244"/>
      <c r="H57" s="2244"/>
      <c r="I57" s="2244"/>
      <c r="J57" s="605"/>
      <c r="K57" s="1103" t="str">
        <f>IF('1 ANTRAG-DEMANDE'!B34=0,"","  - "&amp;AF57&amp;"
")</f>
        <v/>
      </c>
      <c r="L57" s="1249"/>
      <c r="M57" s="1282"/>
      <c r="N57" s="594"/>
      <c r="O57" s="594"/>
      <c r="P57" s="1299"/>
      <c r="AD57" s="620" t="str">
        <f>'1 ANTRAG-DEMANDE'!AD34</f>
        <v>Wechsel der ärztlichen Leitung</v>
      </c>
      <c r="AE57" s="624" t="str">
        <f>'1 ANTRAG-DEMANDE'!AE34</f>
        <v>Changement du médecin responsable</v>
      </c>
      <c r="AF57" s="314" t="str">
        <f t="shared" si="19"/>
        <v>Wechsel der ärztlichen Leitung</v>
      </c>
    </row>
    <row r="58" spans="1:32" ht="20" customHeight="1">
      <c r="A58" s="604"/>
      <c r="B58" s="604"/>
      <c r="C58" s="604"/>
      <c r="D58" s="2283"/>
      <c r="E58" s="2283"/>
      <c r="F58" s="2283"/>
      <c r="G58" s="2244"/>
      <c r="H58" s="2244"/>
      <c r="I58" s="2244"/>
      <c r="J58" s="605"/>
      <c r="K58" s="1103" t="str">
        <f>IF('1 ANTRAG-DEMANDE'!B35=0,"","  - "&amp;AF58&amp;"
")</f>
        <v/>
      </c>
      <c r="L58" s="1249"/>
      <c r="M58" s="1282"/>
      <c r="N58" s="594"/>
      <c r="O58" s="594"/>
      <c r="P58" s="1299"/>
      <c r="AA58" s="302" t="s">
        <v>867</v>
      </c>
      <c r="AB58" s="315" t="s">
        <v>868</v>
      </c>
      <c r="AC58" s="362" t="str">
        <f t="shared" ref="AC58" si="20">IF(AA58=0,"",IF($A$1="D",AA58,AB58))</f>
        <v>Teilnehmer Station / Spital</v>
      </c>
      <c r="AD58" s="620" t="str">
        <f>'1 ANTRAG-DEMANDE'!AD35</f>
        <v>Wechsel der Leitung Pflege</v>
      </c>
      <c r="AE58" s="624" t="str">
        <f>'1 ANTRAG-DEMANDE'!AE35</f>
        <v>Changement du soignant responsable</v>
      </c>
      <c r="AF58" s="314" t="str">
        <f t="shared" si="19"/>
        <v>Wechsel der Leitung Pflege</v>
      </c>
    </row>
    <row r="59" spans="1:32" ht="20" customHeight="1">
      <c r="A59" s="604"/>
      <c r="B59" s="604"/>
      <c r="C59" s="604"/>
      <c r="D59" s="2283"/>
      <c r="E59" s="2283"/>
      <c r="F59" s="2283"/>
      <c r="G59" s="2244"/>
      <c r="H59" s="2244"/>
      <c r="I59" s="2244"/>
      <c r="J59" s="605"/>
      <c r="K59" s="1103" t="str">
        <f>IF('1 ANTRAG-DEMANDE'!B36=0,"","  - "&amp;AF59&amp;"
")</f>
        <v/>
      </c>
      <c r="L59" s="1249"/>
      <c r="M59" s="1282"/>
      <c r="N59" s="594"/>
      <c r="O59" s="594"/>
      <c r="P59" s="1299"/>
      <c r="AD59" s="620" t="str">
        <f>'1 ANTRAG-DEMANDE'!AD36</f>
        <v>Änderung der Bettenanzahl</v>
      </c>
      <c r="AE59" s="624" t="str">
        <f>'1 ANTRAG-DEMANDE'!AE36</f>
        <v>Changement du nombre de lit</v>
      </c>
      <c r="AF59" s="314" t="str">
        <f t="shared" si="19"/>
        <v>Änderung der Bettenanzahl</v>
      </c>
    </row>
    <row r="60" spans="1:32" ht="20" customHeight="1">
      <c r="A60" s="604"/>
      <c r="B60" s="604"/>
      <c r="C60" s="604"/>
      <c r="D60" s="2283"/>
      <c r="E60" s="2283"/>
      <c r="F60" s="2283"/>
      <c r="G60" s="2244"/>
      <c r="H60" s="2244"/>
      <c r="I60" s="2244"/>
      <c r="J60" s="605"/>
      <c r="K60" s="1103" t="str">
        <f>IF('1 ANTRAG-DEMANDE'!B37=0,"","  - "&amp;AF60&amp;"
")</f>
        <v/>
      </c>
      <c r="L60" s="1249"/>
      <c r="M60" s="1282"/>
      <c r="N60" s="594"/>
      <c r="O60" s="594"/>
      <c r="P60" s="1299"/>
      <c r="AD60" s="620" t="str">
        <f>'1 ANTRAG-DEMANDE'!AD37</f>
        <v>Neubau</v>
      </c>
      <c r="AE60" s="624" t="str">
        <f>'1 ANTRAG-DEMANDE'!AE37</f>
        <v>Nouvelle Construction</v>
      </c>
      <c r="AF60" s="314" t="str">
        <f t="shared" si="19"/>
        <v>Neubau</v>
      </c>
    </row>
    <row r="61" spans="1:32" ht="20" customHeight="1">
      <c r="A61" s="604"/>
      <c r="B61" s="604"/>
      <c r="C61" s="604"/>
      <c r="D61" s="2283"/>
      <c r="E61" s="2283"/>
      <c r="F61" s="2283"/>
      <c r="G61" s="2244"/>
      <c r="H61" s="2244"/>
      <c r="I61" s="2244"/>
      <c r="J61" s="605"/>
      <c r="K61" s="1103" t="str">
        <f>IF('1 ANTRAG-DEMANDE'!B38=0,"","  - "&amp;AF61&amp;"
")</f>
        <v/>
      </c>
      <c r="L61" s="1249"/>
      <c r="M61" s="1282"/>
      <c r="N61" s="594"/>
      <c r="O61" s="594"/>
      <c r="P61" s="1299"/>
      <c r="AC61" s="362" t="str">
        <f t="shared" ref="AC61:AC67" si="21">IF(AA61=0,"",IF($A$1="D",AA61,AB61))</f>
        <v/>
      </c>
      <c r="AD61" s="620" t="str">
        <f>'1 ANTRAG-DEMANDE'!AD38</f>
        <v>Renovierung</v>
      </c>
      <c r="AE61" s="624" t="str">
        <f>'1 ANTRAG-DEMANDE'!AE38</f>
        <v>Renovation</v>
      </c>
      <c r="AF61" s="314" t="str">
        <f t="shared" si="19"/>
        <v>Renovierung</v>
      </c>
    </row>
    <row r="62" spans="1:32" ht="29" customHeight="1">
      <c r="A62" s="2226" t="str">
        <f>AC62</f>
        <v>Datum der letzten Zertifizierung /Visitation</v>
      </c>
      <c r="B62" s="2226"/>
      <c r="C62" s="2226"/>
      <c r="D62" s="760" t="str">
        <f>IF('1 ANTRAG-DEMANDE'!B28=0,"/",'1 ANTRAG-DEMANDE'!B28)</f>
        <v>/</v>
      </c>
      <c r="E62" s="661"/>
      <c r="F62" s="661"/>
      <c r="G62" s="2244"/>
      <c r="H62" s="2244"/>
      <c r="I62" s="2244"/>
      <c r="J62" s="605"/>
      <c r="K62" s="720"/>
      <c r="L62" s="1249"/>
      <c r="M62" s="1282"/>
      <c r="N62" s="594"/>
      <c r="O62" s="594"/>
      <c r="P62" s="1299"/>
      <c r="AA62" s="312" t="str">
        <f>'1 ANTRAG-DEMANDE'!AD28</f>
        <v>Datum der letzten Zertifizierung /Visitation</v>
      </c>
      <c r="AB62" s="503" t="str">
        <f>'1 ANTRAG-DEMANDE'!AE28</f>
        <v>Date de la dernière certification /visite</v>
      </c>
      <c r="AC62" s="362" t="str">
        <f t="shared" si="21"/>
        <v>Datum der letzten Zertifizierung /Visitation</v>
      </c>
      <c r="AD62" s="620"/>
      <c r="AE62" s="624"/>
      <c r="AF62" s="314"/>
    </row>
    <row r="63" spans="1:32" ht="28" customHeight="1">
      <c r="A63" s="2226" t="str">
        <f t="shared" ref="A63:A64" si="22">AC63</f>
        <v>Ablauf aktuelles Zertifikat</v>
      </c>
      <c r="B63" s="2226"/>
      <c r="C63" s="2226"/>
      <c r="D63" s="760" t="str">
        <f>IF('1 ANTRAG-DEMANDE'!B30=0,"/",'1 ANTRAG-DEMANDE'!B30)</f>
        <v>/</v>
      </c>
      <c r="E63" s="661"/>
      <c r="F63" s="661"/>
      <c r="G63" s="2244"/>
      <c r="H63" s="2244"/>
      <c r="I63" s="2244"/>
      <c r="J63" s="605"/>
      <c r="K63" s="720"/>
      <c r="L63" s="1249"/>
      <c r="M63" s="1282"/>
      <c r="N63" s="594"/>
      <c r="O63" s="594"/>
      <c r="P63" s="1299"/>
      <c r="AA63" s="302" t="s">
        <v>1562</v>
      </c>
      <c r="AB63" s="315" t="s">
        <v>1563</v>
      </c>
      <c r="AC63" s="362" t="str">
        <f t="shared" si="21"/>
        <v>Ablauf aktuelles Zertifikat</v>
      </c>
      <c r="AD63" s="620"/>
      <c r="AE63" s="624"/>
      <c r="AF63" s="314"/>
    </row>
    <row r="64" spans="1:32" ht="20" customHeight="1">
      <c r="A64" s="2226" t="str">
        <f t="shared" si="22"/>
        <v>Bettenanzahl bisher zertifiziert</v>
      </c>
      <c r="B64" s="2226"/>
      <c r="C64" s="2226"/>
      <c r="D64" s="679" t="str">
        <f>IF('1 ANTRAG-DEMANDE'!B31=0,"/",'1 ANTRAG-DEMANDE'!B31)</f>
        <v>/</v>
      </c>
      <c r="E64" s="661"/>
      <c r="F64" s="661"/>
      <c r="G64" s="2244"/>
      <c r="H64" s="2244"/>
      <c r="I64" s="2244"/>
      <c r="J64" s="605"/>
      <c r="K64" s="720"/>
      <c r="L64" s="1249"/>
      <c r="M64" s="1282"/>
      <c r="N64" s="594"/>
      <c r="O64" s="594"/>
      <c r="P64" s="1299"/>
      <c r="AA64" s="312" t="str">
        <f>'1 ANTRAG-DEMANDE'!AD31</f>
        <v>Bettenanzahl bisher zertifiziert</v>
      </c>
      <c r="AB64" s="503" t="str">
        <f>'1 ANTRAG-DEMANDE'!AE31</f>
        <v>Nombre de lits déjà certifiés</v>
      </c>
      <c r="AC64" s="362" t="str">
        <f t="shared" si="21"/>
        <v>Bettenanzahl bisher zertifiziert</v>
      </c>
      <c r="AD64" s="620"/>
      <c r="AE64" s="624"/>
      <c r="AF64" s="314"/>
    </row>
    <row r="65" spans="1:32" ht="34.5" customHeight="1">
      <c r="A65" s="2226" t="str">
        <f>AC65</f>
        <v>Baujahr</v>
      </c>
      <c r="B65" s="2226"/>
      <c r="C65" s="2226"/>
      <c r="D65" s="679">
        <f>'1 ANTRAG-DEMANDE'!B23</f>
        <v>0</v>
      </c>
      <c r="E65" s="661"/>
      <c r="F65" s="661"/>
      <c r="G65" s="680"/>
      <c r="H65" s="2244"/>
      <c r="I65" s="2244"/>
      <c r="J65" s="680"/>
      <c r="K65" s="720"/>
      <c r="L65" s="1251"/>
      <c r="M65" s="1293"/>
      <c r="N65" s="1294"/>
      <c r="O65" s="1294"/>
      <c r="P65" s="1300"/>
      <c r="AA65" s="312" t="str">
        <f>'1 ANTRAG-DEMANDE'!AD23</f>
        <v>Baujahr</v>
      </c>
      <c r="AB65" s="503" t="str">
        <f>'1 ANTRAG-DEMANDE'!AE23</f>
        <v>Année de construction</v>
      </c>
      <c r="AC65" s="362" t="str">
        <f t="shared" si="21"/>
        <v>Baujahr</v>
      </c>
      <c r="AD65" s="620"/>
      <c r="AE65" s="624"/>
      <c r="AF65" s="314"/>
    </row>
    <row r="66" spans="1:32" ht="20" customHeight="1">
      <c r="A66" s="2226" t="str">
        <f>AC66</f>
        <v>Jahr der letzten Renovierung</v>
      </c>
      <c r="B66" s="2226"/>
      <c r="C66" s="2226"/>
      <c r="D66" s="679" t="str">
        <f>IF('1 ANTRAG-DEMANDE'!B24=0,"/",'1 ANTRAG-DEMANDE'!B24)</f>
        <v>/</v>
      </c>
      <c r="E66" s="661"/>
      <c r="F66" s="661"/>
      <c r="G66" s="605"/>
      <c r="H66" s="2244"/>
      <c r="I66" s="2244"/>
      <c r="J66" s="605"/>
      <c r="K66" s="720"/>
      <c r="L66" s="1249"/>
      <c r="M66" s="1282"/>
      <c r="N66" s="594"/>
      <c r="O66" s="594"/>
      <c r="P66" s="1299"/>
      <c r="AA66" s="312" t="str">
        <f>'1 ANTRAG-DEMANDE'!AD24</f>
        <v>Jahr der letzten Renovierung</v>
      </c>
      <c r="AB66" s="503" t="str">
        <f>'1 ANTRAG-DEMANDE'!AE24</f>
        <v>Année de la dernière renovation</v>
      </c>
      <c r="AC66" s="362" t="str">
        <f t="shared" si="21"/>
        <v>Jahr der letzten Renovierung</v>
      </c>
      <c r="AD66" s="620"/>
      <c r="AE66" s="624"/>
      <c r="AF66" s="314"/>
    </row>
    <row r="67" spans="1:32" ht="20" customHeight="1">
      <c r="A67" s="661"/>
      <c r="B67" s="661"/>
      <c r="C67" s="661"/>
      <c r="D67" s="661"/>
      <c r="E67" s="661"/>
      <c r="F67" s="661"/>
      <c r="G67" s="605"/>
      <c r="H67" s="2244"/>
      <c r="I67" s="2244"/>
      <c r="J67" s="605"/>
      <c r="K67" s="720"/>
      <c r="L67" s="1249"/>
      <c r="M67" s="1282"/>
      <c r="N67" s="594"/>
      <c r="O67" s="594"/>
      <c r="P67" s="1299"/>
      <c r="AA67" s="312"/>
      <c r="AB67" s="503"/>
      <c r="AC67" s="362" t="str">
        <f t="shared" si="21"/>
        <v/>
      </c>
      <c r="AD67" s="620"/>
      <c r="AE67" s="624"/>
      <c r="AF67" s="314"/>
    </row>
    <row r="68" spans="1:32" ht="20" customHeight="1">
      <c r="A68" s="2222" t="str">
        <f>AC68</f>
        <v>Datum Antrag Zertifizierung</v>
      </c>
      <c r="B68" s="2222"/>
      <c r="C68" s="2222"/>
      <c r="D68" s="2257">
        <f>'1 ANTRAG-DEMANDE'!B10</f>
        <v>0</v>
      </c>
      <c r="E68" s="2257"/>
      <c r="F68" s="2257"/>
      <c r="G68" s="152"/>
      <c r="H68" s="2244"/>
      <c r="I68" s="2244"/>
      <c r="J68" s="605"/>
      <c r="K68" s="1103" t="str">
        <f>IF('1 ANTRAG-DEMANDE'!B39=0,"","  - "&amp;AF68&amp;"
")</f>
        <v/>
      </c>
      <c r="L68" s="1249"/>
      <c r="M68" s="1282"/>
      <c r="N68" s="594"/>
      <c r="O68" s="594"/>
      <c r="P68" s="597"/>
      <c r="AA68" s="312" t="str">
        <f>'1 ANTRAG-DEMANDE'!AD10</f>
        <v>Datum Antrag Zertifizierung</v>
      </c>
      <c r="AB68" s="316" t="str">
        <f>'1 ANTRAG-DEMANDE'!AE10</f>
        <v>Date Demande Certification</v>
      </c>
      <c r="AC68" s="362" t="str">
        <f>IF(AA68=0,"",IF($A$1="D",AA68,AB68))</f>
        <v>Datum Antrag Zertifizierung</v>
      </c>
      <c r="AD68" s="620" t="str">
        <f>'1 ANTRAG-DEMANDE'!AD39</f>
        <v>Andere</v>
      </c>
      <c r="AE68" s="624" t="str">
        <f>'1 ANTRAG-DEMANDE'!AE39</f>
        <v>Autres</v>
      </c>
      <c r="AF68" s="314" t="str">
        <f t="shared" si="19"/>
        <v>Andere</v>
      </c>
    </row>
    <row r="69" spans="1:32" ht="20" customHeight="1">
      <c r="A69" s="2222" t="str">
        <f>AC69</f>
        <v>Datum Selbstdeklaration</v>
      </c>
      <c r="B69" s="2222"/>
      <c r="C69" s="2222"/>
      <c r="D69" s="2223">
        <f>'2 Autodeklaration'!A4</f>
        <v>0</v>
      </c>
      <c r="E69" s="2223"/>
      <c r="F69" s="2223"/>
      <c r="G69" s="152"/>
      <c r="H69" s="2244"/>
      <c r="I69" s="2244"/>
      <c r="J69" s="605"/>
      <c r="K69" s="719"/>
      <c r="L69" s="1249"/>
      <c r="M69" s="1282"/>
      <c r="N69" s="594"/>
      <c r="O69" s="594"/>
      <c r="P69" s="597"/>
      <c r="AA69" s="302" t="s">
        <v>1477</v>
      </c>
      <c r="AB69" s="315" t="s">
        <v>1478</v>
      </c>
      <c r="AC69" s="362" t="str">
        <f>IF(AA69=0,"",IF($A$1="D",AA69,AB69))</f>
        <v>Datum Selbstdeklaration</v>
      </c>
      <c r="AF69" s="314" t="str">
        <f t="shared" ref="AF69:AF72" si="23">IF(AD69=0,"",IF($A$1="D",AD69,AE69))</f>
        <v/>
      </c>
    </row>
    <row r="70" spans="1:32" ht="20" customHeight="1">
      <c r="A70" s="108"/>
      <c r="B70" s="108"/>
      <c r="E70" s="108"/>
      <c r="F70" s="108"/>
      <c r="G70" s="152"/>
      <c r="H70" s="2244"/>
      <c r="I70" s="2244"/>
      <c r="J70" s="605"/>
      <c r="K70" s="719"/>
      <c r="L70" s="1249"/>
      <c r="M70" s="1282"/>
      <c r="N70" s="594"/>
      <c r="O70" s="594"/>
      <c r="P70" s="597"/>
      <c r="AA70" s="302" t="s">
        <v>902</v>
      </c>
      <c r="AB70" s="315" t="s">
        <v>901</v>
      </c>
      <c r="AC70" s="362" t="str">
        <f t="shared" si="18"/>
        <v>Daten der Station</v>
      </c>
      <c r="AF70" s="314" t="str">
        <f t="shared" si="23"/>
        <v/>
      </c>
    </row>
    <row r="71" spans="1:32" ht="20" customHeight="1">
      <c r="A71" s="2222" t="str">
        <f>A10</f>
        <v>Datum Visitation</v>
      </c>
      <c r="B71" s="2222"/>
      <c r="C71" s="2222"/>
      <c r="D71" s="2223">
        <f>C10</f>
        <v>0</v>
      </c>
      <c r="E71" s="2223"/>
      <c r="F71" s="448"/>
      <c r="G71" s="152"/>
      <c r="H71" s="2244"/>
      <c r="I71" s="2244"/>
      <c r="J71" s="605"/>
      <c r="K71" s="719"/>
      <c r="L71" s="1249"/>
      <c r="M71" s="1282"/>
      <c r="N71" s="594"/>
      <c r="O71" s="594"/>
      <c r="P71" s="597"/>
      <c r="AF71" s="314" t="str">
        <f t="shared" si="23"/>
        <v/>
      </c>
    </row>
    <row r="72" spans="1:32" ht="20" customHeight="1">
      <c r="A72" s="2222" t="str">
        <f>AC11</f>
        <v>Beginn der Visitation</v>
      </c>
      <c r="B72" s="2222"/>
      <c r="C72" s="2222"/>
      <c r="D72" s="2224">
        <f>IF(C9=Liste!$G$2,"/",C11)</f>
        <v>0</v>
      </c>
      <c r="E72" s="2224"/>
      <c r="F72" s="1182"/>
      <c r="G72" s="605"/>
      <c r="H72" s="2244"/>
      <c r="I72" s="2244"/>
      <c r="J72" s="605"/>
      <c r="K72" s="719"/>
      <c r="L72" s="1249"/>
      <c r="M72" s="1282"/>
      <c r="N72" s="594"/>
      <c r="O72" s="594"/>
      <c r="P72" s="597"/>
      <c r="AF72" s="314" t="str">
        <f t="shared" si="23"/>
        <v/>
      </c>
    </row>
    <row r="73" spans="1:32" ht="19.5" customHeight="1">
      <c r="A73" s="2222" t="str">
        <f>AC12</f>
        <v>Ende der Visitation</v>
      </c>
      <c r="B73" s="2222"/>
      <c r="C73" s="2222"/>
      <c r="D73" s="2224">
        <f>IF(C9=Liste!$G$2,"/",C12)</f>
        <v>0</v>
      </c>
      <c r="E73" s="2224"/>
      <c r="F73" s="1181"/>
      <c r="G73" s="152" t="str">
        <f>AC73</f>
        <v>Geschichte der Station</v>
      </c>
      <c r="H73" s="2244" t="str">
        <f>K32&amp;K33&amp;K34&amp;K35&amp;K36&amp;K37&amp;K38&amp;K39&amp;K40&amp;K41</f>
        <v/>
      </c>
      <c r="I73" s="2244"/>
      <c r="K73" s="721"/>
      <c r="M73" s="1282"/>
      <c r="N73" s="594"/>
      <c r="O73" s="594"/>
      <c r="P73" s="597"/>
      <c r="AA73" s="302" t="s">
        <v>922</v>
      </c>
      <c r="AB73" s="315" t="s">
        <v>923</v>
      </c>
      <c r="AC73" s="362" t="str">
        <f t="shared" si="18"/>
        <v>Geschichte der Station</v>
      </c>
      <c r="AF73" s="314" t="str">
        <f t="shared" ref="AF73:AF74" si="24">IF(AD73=0,"",IF($A$1="D",AD73,AE73))</f>
        <v/>
      </c>
    </row>
    <row r="74" spans="1:32" ht="19.5" customHeight="1">
      <c r="A74" s="604"/>
      <c r="B74" s="604"/>
      <c r="C74" s="604"/>
      <c r="D74" s="483"/>
      <c r="E74" s="450"/>
      <c r="F74" s="483"/>
      <c r="G74" s="654"/>
      <c r="H74" s="2244"/>
      <c r="I74" s="2244"/>
      <c r="K74" s="721"/>
      <c r="M74" s="1282"/>
      <c r="N74" s="594"/>
      <c r="O74" s="594"/>
      <c r="P74" s="597"/>
      <c r="AA74" s="321"/>
      <c r="AB74" s="322"/>
      <c r="AF74" s="314" t="str">
        <f t="shared" si="24"/>
        <v/>
      </c>
    </row>
    <row r="75" spans="1:32" ht="19.5" customHeight="1">
      <c r="A75" s="604"/>
      <c r="B75" s="604"/>
      <c r="C75" s="604"/>
      <c r="D75" s="483"/>
      <c r="E75" s="450"/>
      <c r="F75" s="483"/>
      <c r="G75" s="372"/>
      <c r="H75" s="2244"/>
      <c r="I75" s="2244"/>
      <c r="K75" s="721"/>
      <c r="M75" s="1282"/>
      <c r="N75" s="594"/>
      <c r="O75" s="594"/>
      <c r="P75" s="597"/>
      <c r="AA75" s="321"/>
      <c r="AB75" s="322"/>
      <c r="AF75" s="314" t="str">
        <f t="shared" ref="AF75" si="25">IF(AD75=0,"",IF($A$1="D",AD75,AE75))</f>
        <v/>
      </c>
    </row>
    <row r="76" spans="1:32" ht="19.5" customHeight="1">
      <c r="A76" s="604"/>
      <c r="B76" s="604"/>
      <c r="C76" s="604"/>
      <c r="D76" s="483"/>
      <c r="E76" s="450"/>
      <c r="F76" s="483"/>
      <c r="G76" s="372"/>
      <c r="H76" s="2244"/>
      <c r="I76" s="2244"/>
      <c r="K76" s="721"/>
      <c r="M76" s="1282"/>
      <c r="N76" s="594"/>
      <c r="O76" s="594"/>
      <c r="P76" s="597"/>
      <c r="AA76" s="321"/>
      <c r="AB76" s="322"/>
    </row>
    <row r="77" spans="1:32" ht="19.5" customHeight="1">
      <c r="A77" s="604"/>
      <c r="B77" s="604"/>
      <c r="C77" s="604"/>
      <c r="D77" s="483"/>
      <c r="E77" s="450"/>
      <c r="F77" s="483"/>
      <c r="G77" s="372"/>
      <c r="H77" s="2244"/>
      <c r="I77" s="2244"/>
      <c r="K77" s="721"/>
      <c r="M77" s="1282"/>
      <c r="N77" s="594"/>
      <c r="O77" s="594"/>
      <c r="P77" s="597"/>
      <c r="AA77" s="321"/>
      <c r="AB77" s="322"/>
    </row>
    <row r="78" spans="1:32" ht="19.5" customHeight="1">
      <c r="A78" s="604"/>
      <c r="B78" s="604"/>
      <c r="C78" s="604"/>
      <c r="D78" s="483"/>
      <c r="E78" s="450"/>
      <c r="F78" s="483"/>
      <c r="G78" s="372"/>
      <c r="H78" s="2244"/>
      <c r="I78" s="2244"/>
      <c r="K78" s="721"/>
      <c r="M78" s="1282"/>
      <c r="N78" s="594"/>
      <c r="O78" s="594"/>
      <c r="P78" s="597"/>
      <c r="AA78" s="321"/>
      <c r="AB78" s="322"/>
    </row>
    <row r="79" spans="1:32" ht="19.5" customHeight="1">
      <c r="A79" s="604"/>
      <c r="B79" s="604"/>
      <c r="C79" s="604"/>
      <c r="D79" s="483"/>
      <c r="E79" s="450"/>
      <c r="F79" s="483"/>
      <c r="G79" s="372"/>
      <c r="H79" s="2244"/>
      <c r="I79" s="2244"/>
      <c r="K79" s="721"/>
      <c r="M79" s="1282"/>
      <c r="N79" s="594"/>
      <c r="O79" s="594"/>
      <c r="P79" s="597"/>
      <c r="AA79" s="321"/>
      <c r="AB79" s="322"/>
    </row>
    <row r="80" spans="1:32" ht="19.5" customHeight="1">
      <c r="A80" s="604"/>
      <c r="B80" s="604"/>
      <c r="C80" s="604"/>
      <c r="D80" s="483"/>
      <c r="E80" s="450"/>
      <c r="F80" s="483"/>
      <c r="G80" s="372"/>
      <c r="H80" s="2244"/>
      <c r="I80" s="2244"/>
      <c r="K80" s="721"/>
      <c r="M80" s="1282"/>
      <c r="N80" s="594"/>
      <c r="O80" s="594"/>
      <c r="P80" s="597"/>
      <c r="AA80" s="321"/>
      <c r="AB80" s="322"/>
    </row>
    <row r="81" spans="1:29" ht="19.5" customHeight="1">
      <c r="A81" s="604"/>
      <c r="B81" s="604"/>
      <c r="C81" s="604"/>
      <c r="D81" s="483"/>
      <c r="E81" s="450"/>
      <c r="F81" s="483"/>
      <c r="G81" s="372"/>
      <c r="H81" s="2244"/>
      <c r="I81" s="2244"/>
      <c r="K81" s="721"/>
      <c r="M81" s="1282"/>
      <c r="N81" s="594"/>
      <c r="O81" s="594"/>
      <c r="P81" s="597"/>
      <c r="AA81" s="321"/>
      <c r="AB81" s="322"/>
    </row>
    <row r="82" spans="1:29" ht="19.5" customHeight="1">
      <c r="A82" s="604"/>
      <c r="B82" s="604"/>
      <c r="C82" s="604"/>
      <c r="D82" s="483"/>
      <c r="E82" s="450"/>
      <c r="F82" s="483"/>
      <c r="G82" s="372"/>
      <c r="H82" s="605"/>
      <c r="I82" s="605"/>
      <c r="K82" s="721"/>
      <c r="M82" s="1282"/>
      <c r="N82" s="594"/>
      <c r="O82" s="594"/>
      <c r="P82" s="597"/>
      <c r="AA82" s="321"/>
      <c r="AB82" s="322"/>
    </row>
    <row r="83" spans="1:29" ht="19.5" customHeight="1">
      <c r="A83" s="604"/>
      <c r="B83" s="604"/>
      <c r="C83" s="604"/>
      <c r="D83" s="483"/>
      <c r="E83" s="450"/>
      <c r="F83" s="483"/>
      <c r="G83" s="2283" t="str">
        <f>AC83</f>
        <v>Ereignisse
nach der Visite</v>
      </c>
      <c r="H83" s="2244" t="str">
        <f>K43&amp;K44&amp;K45</f>
        <v/>
      </c>
      <c r="I83" s="2244"/>
      <c r="K83" s="721"/>
      <c r="M83" s="1282"/>
      <c r="N83" s="594"/>
      <c r="O83" s="594"/>
      <c r="P83" s="597"/>
      <c r="AA83" s="321" t="s">
        <v>924</v>
      </c>
      <c r="AB83" s="322" t="s">
        <v>925</v>
      </c>
      <c r="AC83" s="362" t="str">
        <f t="shared" si="4"/>
        <v>Ereignisse
nach der Visite</v>
      </c>
    </row>
    <row r="84" spans="1:29" ht="19.5" customHeight="1">
      <c r="A84" s="604"/>
      <c r="B84" s="604"/>
      <c r="C84" s="604"/>
      <c r="D84" s="483"/>
      <c r="E84" s="450"/>
      <c r="F84" s="483"/>
      <c r="G84" s="2283"/>
      <c r="H84" s="2244"/>
      <c r="I84" s="2244"/>
      <c r="K84" s="721"/>
      <c r="M84" s="1282"/>
      <c r="N84" s="594"/>
      <c r="O84" s="594"/>
      <c r="P84" s="597"/>
      <c r="AA84" s="321"/>
      <c r="AB84" s="322"/>
    </row>
    <row r="85" spans="1:29" ht="19.5" customHeight="1">
      <c r="A85" s="604"/>
      <c r="B85" s="604"/>
      <c r="C85" s="604"/>
      <c r="D85" s="483"/>
      <c r="E85" s="450"/>
      <c r="F85" s="483"/>
      <c r="G85" s="655"/>
      <c r="H85" s="2244"/>
      <c r="I85" s="2244"/>
      <c r="K85" s="721"/>
      <c r="M85" s="1282"/>
      <c r="N85" s="594"/>
      <c r="O85" s="594"/>
      <c r="P85" s="597"/>
      <c r="AA85" s="321"/>
      <c r="AB85" s="322"/>
    </row>
    <row r="86" spans="1:29" ht="19.5" customHeight="1">
      <c r="A86" s="604"/>
      <c r="B86" s="604"/>
      <c r="C86" s="604"/>
      <c r="D86" s="483"/>
      <c r="E86" s="450"/>
      <c r="F86" s="483"/>
      <c r="G86" s="655"/>
      <c r="H86" s="2244"/>
      <c r="I86" s="2244"/>
      <c r="K86" s="721"/>
      <c r="M86" s="1282"/>
      <c r="N86" s="594"/>
      <c r="O86" s="594"/>
      <c r="P86" s="597"/>
      <c r="AA86" s="321"/>
      <c r="AB86" s="322"/>
    </row>
    <row r="87" spans="1:29" ht="19.5" customHeight="1">
      <c r="A87" s="604"/>
      <c r="B87" s="604"/>
      <c r="C87" s="604"/>
      <c r="D87" s="483"/>
      <c r="E87" s="450"/>
      <c r="F87" s="483"/>
      <c r="G87" s="655"/>
      <c r="H87" s="2244"/>
      <c r="I87" s="2244"/>
      <c r="K87" s="721"/>
      <c r="M87" s="1282"/>
      <c r="N87" s="594"/>
      <c r="O87" s="594"/>
      <c r="P87" s="597"/>
      <c r="AA87" s="321"/>
      <c r="AB87" s="322"/>
    </row>
    <row r="88" spans="1:29" ht="19.5" customHeight="1">
      <c r="A88" s="604"/>
      <c r="B88" s="604"/>
      <c r="C88" s="604"/>
      <c r="D88" s="483"/>
      <c r="E88" s="450"/>
      <c r="F88" s="483"/>
      <c r="G88" s="655"/>
      <c r="H88" s="2244"/>
      <c r="I88" s="2244"/>
      <c r="K88" s="721"/>
      <c r="M88" s="1282"/>
      <c r="N88" s="594"/>
      <c r="O88" s="594"/>
      <c r="P88" s="597"/>
      <c r="AA88" s="321"/>
      <c r="AB88" s="322"/>
    </row>
    <row r="89" spans="1:29" ht="19.5" customHeight="1">
      <c r="A89" s="604"/>
      <c r="B89" s="604"/>
      <c r="C89" s="604"/>
      <c r="D89" s="483"/>
      <c r="E89" s="450"/>
      <c r="F89" s="483"/>
      <c r="G89" s="655"/>
      <c r="H89" s="2244"/>
      <c r="I89" s="2244"/>
      <c r="K89" s="721"/>
      <c r="M89" s="1282"/>
      <c r="N89" s="594"/>
      <c r="O89" s="594"/>
      <c r="P89" s="597"/>
      <c r="AA89" s="321"/>
      <c r="AB89" s="322"/>
    </row>
    <row r="90" spans="1:29" ht="19.5" customHeight="1">
      <c r="A90" s="604"/>
      <c r="B90" s="604"/>
      <c r="C90" s="604"/>
      <c r="D90" s="483"/>
      <c r="E90" s="450"/>
      <c r="F90" s="483"/>
      <c r="G90" s="655"/>
      <c r="H90" s="2244"/>
      <c r="I90" s="2244"/>
      <c r="K90" s="721"/>
      <c r="M90" s="1282"/>
      <c r="N90" s="594"/>
      <c r="O90" s="594"/>
      <c r="P90" s="597"/>
      <c r="AA90" s="321"/>
      <c r="AB90" s="322"/>
    </row>
    <row r="91" spans="1:29" ht="19.5" customHeight="1">
      <c r="A91" s="604"/>
      <c r="B91" s="604"/>
      <c r="C91" s="604"/>
      <c r="D91" s="483"/>
      <c r="E91" s="450"/>
      <c r="F91" s="483"/>
      <c r="G91" s="655"/>
      <c r="H91" s="2244"/>
      <c r="I91" s="2244"/>
      <c r="K91" s="721"/>
      <c r="M91" s="1282"/>
      <c r="N91" s="594"/>
      <c r="O91" s="594"/>
      <c r="P91" s="597"/>
      <c r="AA91" s="321"/>
      <c r="AB91" s="322"/>
    </row>
    <row r="92" spans="1:29" ht="19.5" customHeight="1">
      <c r="A92" s="604"/>
      <c r="B92" s="604"/>
      <c r="C92" s="604"/>
      <c r="D92" s="483"/>
      <c r="E92" s="450"/>
      <c r="F92" s="483"/>
      <c r="G92" s="372"/>
      <c r="H92" s="2244"/>
      <c r="I92" s="2244"/>
      <c r="K92" s="721"/>
      <c r="M92" s="1282"/>
      <c r="N92" s="594"/>
      <c r="O92" s="594"/>
      <c r="P92" s="597"/>
      <c r="AA92" s="321"/>
      <c r="AB92" s="322"/>
    </row>
    <row r="93" spans="1:29" ht="19.5" customHeight="1">
      <c r="A93" s="604"/>
      <c r="B93" s="604"/>
      <c r="C93" s="604"/>
      <c r="D93" s="483"/>
      <c r="E93" s="450"/>
      <c r="F93" s="483"/>
      <c r="G93" s="372"/>
      <c r="H93" s="605"/>
      <c r="I93" s="605"/>
      <c r="K93" s="721"/>
      <c r="M93" s="1282"/>
      <c r="N93" s="594"/>
      <c r="O93" s="594"/>
      <c r="P93" s="597"/>
      <c r="AA93" s="321"/>
      <c r="AB93" s="322"/>
    </row>
    <row r="94" spans="1:29" ht="19.5" customHeight="1">
      <c r="A94" s="604"/>
      <c r="B94" s="604"/>
      <c r="C94" s="604"/>
      <c r="D94" s="483"/>
      <c r="E94" s="450"/>
      <c r="F94" s="483"/>
      <c r="G94" s="372"/>
      <c r="H94" s="605"/>
      <c r="I94" s="605"/>
      <c r="K94" s="721"/>
      <c r="M94" s="1282"/>
      <c r="N94" s="594"/>
      <c r="O94" s="594"/>
      <c r="P94" s="597"/>
      <c r="AA94" s="321"/>
      <c r="AB94" s="322"/>
    </row>
    <row r="95" spans="1:29" ht="19.5" customHeight="1">
      <c r="A95" s="604"/>
      <c r="B95" s="604"/>
      <c r="C95" s="604"/>
      <c r="D95" s="483"/>
      <c r="E95" s="450"/>
      <c r="F95" s="483"/>
      <c r="G95" s="372"/>
      <c r="H95" s="605"/>
      <c r="I95" s="605"/>
      <c r="K95" s="721"/>
      <c r="M95" s="1282"/>
      <c r="N95" s="594"/>
      <c r="O95" s="594"/>
      <c r="P95" s="597"/>
      <c r="AA95" s="321"/>
      <c r="AB95" s="322"/>
    </row>
    <row r="96" spans="1:29" ht="19.5" customHeight="1">
      <c r="A96" s="604"/>
      <c r="B96" s="604"/>
      <c r="C96" s="604"/>
      <c r="D96" s="483"/>
      <c r="E96" s="450"/>
      <c r="F96" s="483"/>
      <c r="G96" s="372"/>
      <c r="H96" s="605"/>
      <c r="I96" s="605"/>
      <c r="K96" s="721"/>
      <c r="M96" s="1282"/>
      <c r="N96" s="594"/>
      <c r="O96" s="594"/>
      <c r="P96" s="597"/>
      <c r="AA96" s="321"/>
      <c r="AB96" s="322"/>
    </row>
    <row r="97" spans="1:32" ht="19.5" customHeight="1">
      <c r="A97" s="604"/>
      <c r="B97" s="604"/>
      <c r="C97" s="604"/>
      <c r="D97" s="483"/>
      <c r="E97" s="450"/>
      <c r="F97" s="483"/>
      <c r="G97" s="372"/>
      <c r="H97" s="605"/>
      <c r="I97" s="605"/>
      <c r="K97" s="721"/>
      <c r="M97" s="1282"/>
      <c r="N97" s="594"/>
      <c r="O97" s="594"/>
      <c r="P97" s="597"/>
      <c r="AA97" s="321"/>
      <c r="AB97" s="322"/>
    </row>
    <row r="98" spans="1:32" ht="19.5" customHeight="1">
      <c r="A98" s="604"/>
      <c r="B98" s="604"/>
      <c r="C98" s="604"/>
      <c r="D98" s="483"/>
      <c r="E98" s="450"/>
      <c r="F98" s="483"/>
      <c r="G98" s="372"/>
      <c r="H98" s="605"/>
      <c r="I98" s="605"/>
      <c r="K98" s="721"/>
      <c r="M98" s="1282"/>
      <c r="N98" s="594"/>
      <c r="O98" s="594"/>
      <c r="P98" s="597"/>
      <c r="AA98" s="321"/>
      <c r="AB98" s="322"/>
    </row>
    <row r="99" spans="1:32" ht="19.5" customHeight="1">
      <c r="A99" s="604"/>
      <c r="B99" s="604"/>
      <c r="C99" s="604"/>
      <c r="D99" s="483"/>
      <c r="E99" s="450"/>
      <c r="F99" s="483"/>
      <c r="G99" s="372"/>
      <c r="H99" s="605"/>
      <c r="I99" s="605"/>
      <c r="K99" s="721"/>
      <c r="M99" s="1282"/>
      <c r="N99" s="594"/>
      <c r="O99" s="594"/>
      <c r="P99" s="597"/>
      <c r="AA99" s="321"/>
      <c r="AB99" s="322"/>
    </row>
    <row r="100" spans="1:32" ht="36" customHeight="1">
      <c r="A100" s="2252" t="str">
        <f>AC100</f>
        <v>Qualitätskriterien</v>
      </c>
      <c r="B100" s="2252"/>
      <c r="C100" s="2252"/>
      <c r="D100" s="2252"/>
      <c r="E100" s="2252"/>
      <c r="F100" s="483"/>
      <c r="G100" s="372"/>
      <c r="H100" s="560"/>
      <c r="K100" s="721"/>
      <c r="M100" s="1282"/>
      <c r="N100" s="594"/>
      <c r="O100" s="594"/>
      <c r="P100" s="597"/>
      <c r="AA100" s="312" t="str">
        <f>Kriterien!R17</f>
        <v>Qualitätskriterien</v>
      </c>
      <c r="AB100" s="316" t="str">
        <f>Kriterien!S17</f>
        <v>Critères de qualité</v>
      </c>
      <c r="AC100" s="362" t="str">
        <f t="shared" si="18"/>
        <v>Qualitätskriterien</v>
      </c>
      <c r="AD100" s="321" t="s">
        <v>935</v>
      </c>
      <c r="AE100" s="616" t="s">
        <v>936</v>
      </c>
      <c r="AF100" s="617" t="str">
        <f>IF(AD100=0,"",IF($A$1="D",AD100,AE100))</f>
        <v xml:space="preserve">Abschliessender Kommentar Kapitel </v>
      </c>
    </row>
    <row r="101" spans="1:32" ht="29.25" customHeight="1">
      <c r="A101" s="449" t="str">
        <f>AC101</f>
        <v>Die nächsten Seiten beinhalten die detaillierten Angaben zu den Kriterien. Zusammenfassung s. letzte zwei Seiten</v>
      </c>
      <c r="B101" s="604"/>
      <c r="C101" s="604"/>
      <c r="D101" s="483"/>
      <c r="E101" s="450"/>
      <c r="F101" s="483"/>
      <c r="G101" s="372"/>
      <c r="H101" s="560"/>
      <c r="K101" s="721"/>
      <c r="M101" s="1282"/>
      <c r="N101" s="594"/>
      <c r="O101" s="594"/>
      <c r="P101" s="597"/>
      <c r="AA101" s="321" t="s">
        <v>933</v>
      </c>
      <c r="AB101" s="322" t="s">
        <v>934</v>
      </c>
      <c r="AC101" s="362" t="str">
        <f t="shared" si="18"/>
        <v>Die nächsten Seiten beinhalten die detaillierten Angaben zu den Kriterien. Zusammenfassung s. letzte zwei Seiten</v>
      </c>
      <c r="AD101" s="672" t="str">
        <f>Kriterien!R21</f>
        <v>Beschreibung</v>
      </c>
      <c r="AE101" s="621" t="str">
        <f>Kriterien!S21</f>
        <v>Description</v>
      </c>
      <c r="AF101" s="617" t="str">
        <f>IF(AD101=0,"",IF($A$1="D",AD101,AE101))</f>
        <v>Beschreibung</v>
      </c>
    </row>
    <row r="102" spans="1:32" s="20" customFormat="1" ht="21.75" customHeight="1">
      <c r="A102" s="155"/>
      <c r="B102" s="155"/>
      <c r="C102" s="157"/>
      <c r="D102" s="2232"/>
      <c r="E102" s="2232"/>
      <c r="F102" s="2232"/>
      <c r="G102" s="370"/>
      <c r="H102" s="2282" t="str">
        <f>H48</f>
        <v>,  
, 
,   -  Bericht vom: 00.01.1900</v>
      </c>
      <c r="I102" s="2282"/>
      <c r="J102" s="681"/>
      <c r="K102" s="745"/>
      <c r="L102" s="1252"/>
      <c r="M102" s="1282"/>
      <c r="N102" s="594"/>
      <c r="O102" s="594"/>
      <c r="P102" s="597"/>
      <c r="AA102" s="302" t="s">
        <v>753</v>
      </c>
      <c r="AB102" s="315" t="s">
        <v>754</v>
      </c>
      <c r="AC102" s="362" t="str">
        <f>IF(AA102=0,"",IF($A$1="D",AA102,AB102))</f>
        <v>Bemerkungen - Experten ZK</v>
      </c>
      <c r="AD102" s="672" t="str">
        <f>Kriterien!U21</f>
        <v>Dokumentation via</v>
      </c>
      <c r="AE102" s="621" t="str">
        <f>Kriterien!V21</f>
        <v>Documentation via</v>
      </c>
      <c r="AF102" s="617" t="str">
        <f>IF(AD102=0,"",IF($A$1="D",AD102,AE102))</f>
        <v>Dokumentation via</v>
      </c>
    </row>
    <row r="103" spans="1:32" ht="19" customHeight="1">
      <c r="A103" s="2229" t="str">
        <f>A4</f>
        <v>Selbstdeklaration</v>
      </c>
      <c r="B103" s="2230"/>
      <c r="C103" s="2231" t="str">
        <f>C4</f>
        <v>Visitation</v>
      </c>
      <c r="D103" s="2229"/>
      <c r="G103" s="373"/>
      <c r="H103" s="561"/>
      <c r="I103" s="561"/>
      <c r="J103" s="561"/>
      <c r="L103" s="1253"/>
      <c r="M103" s="1282"/>
      <c r="N103" s="594" t="s">
        <v>349</v>
      </c>
      <c r="O103" s="594"/>
      <c r="P103" s="597"/>
      <c r="AA103" s="302" t="s">
        <v>333</v>
      </c>
      <c r="AB103" s="315" t="s">
        <v>752</v>
      </c>
      <c r="AC103" s="362" t="str">
        <f>IF(AA103=0,"",IF($A$1="D",AA103,AB103))</f>
        <v>Bemerkungen - Selbstdeklaration</v>
      </c>
      <c r="AD103" s="670" t="s">
        <v>1571</v>
      </c>
      <c r="AE103" s="616" t="s">
        <v>1572</v>
      </c>
      <c r="AF103" s="617" t="str">
        <f>IF(AD103=0,"",IF($A$1="D",AD103,AE103))</f>
        <v xml:space="preserve">Bericht vom: </v>
      </c>
    </row>
    <row r="104" spans="1:32" s="111" customFormat="1" ht="55" customHeight="1">
      <c r="A104" s="168" t="str">
        <f>A5</f>
        <v>Muss Kriterium</v>
      </c>
      <c r="B104" s="556" t="str">
        <f>B5</f>
        <v>Kann Kriterium</v>
      </c>
      <c r="C104" s="435" t="str">
        <f>C5</f>
        <v>Muss Kriterium</v>
      </c>
      <c r="D104" s="557" t="str">
        <f>D5</f>
        <v>Kann Kriterium</v>
      </c>
      <c r="E104" s="1"/>
      <c r="F104" s="110" t="str">
        <f>AF101</f>
        <v>Beschreibung</v>
      </c>
      <c r="G104" s="369" t="str">
        <f>AF102</f>
        <v>Dokumentation via</v>
      </c>
      <c r="H104" s="559" t="str">
        <f>AC103</f>
        <v>Bemerkungen - Selbstdeklaration</v>
      </c>
      <c r="I104" s="562" t="str">
        <f>AC102</f>
        <v>Bemerkungen - Experten ZK</v>
      </c>
      <c r="J104" s="686"/>
      <c r="K104" s="717"/>
      <c r="L104" s="1254"/>
      <c r="M104" s="1283"/>
      <c r="N104" s="1278"/>
      <c r="O104" s="1278"/>
      <c r="P104" s="598"/>
      <c r="AA104" s="312" t="str">
        <f>Kriterien!R3</f>
        <v>Muss Kriterium</v>
      </c>
      <c r="AB104" s="316" t="str">
        <f>Kriterien!S3</f>
        <v>Critère obligatoire</v>
      </c>
      <c r="AC104" s="362" t="str">
        <f t="shared" si="4"/>
        <v>Muss Kriterium</v>
      </c>
      <c r="AD104" s="672" t="str">
        <f>Kriterien!U3</f>
        <v>Kann Kriterium</v>
      </c>
      <c r="AE104" s="621" t="str">
        <f>Kriterien!V3</f>
        <v>Critère souhaitable</v>
      </c>
      <c r="AF104" s="617" t="str">
        <f t="shared" si="5"/>
        <v>Kann Kriterium</v>
      </c>
    </row>
    <row r="105" spans="1:32" ht="29.25" customHeight="1">
      <c r="A105" s="604"/>
      <c r="B105" s="604"/>
      <c r="C105" s="604"/>
      <c r="D105" s="483"/>
      <c r="E105" s="450"/>
      <c r="F105" s="483"/>
      <c r="G105" s="372"/>
      <c r="H105" s="560"/>
      <c r="K105" s="721"/>
      <c r="M105" s="1282"/>
      <c r="N105" s="594"/>
      <c r="O105" s="594"/>
      <c r="P105" s="597"/>
      <c r="AA105" s="321"/>
      <c r="AB105" s="322"/>
    </row>
    <row r="106" spans="1:32" ht="38" customHeight="1">
      <c r="A106" s="635" t="str">
        <f>A6</f>
        <v>0= nicht erfüllt
1= erfüllt</v>
      </c>
      <c r="B106" s="634" t="str">
        <f>B6</f>
        <v>0= nicht erfüllt
1= teilweise erfüllt
2= vollständig erfüllt</v>
      </c>
      <c r="C106" s="1172" t="str">
        <f>C6</f>
        <v>0= nicht erfüllt
1= erfüllt</v>
      </c>
      <c r="D106" s="1173" t="str">
        <f>D6</f>
        <v>0= nicht erfüllt
1= teilweise erfüllt
2= vollständig erfüllt</v>
      </c>
      <c r="F106" s="2260"/>
      <c r="G106" s="2261"/>
      <c r="I106" s="1174"/>
      <c r="M106" s="1283"/>
      <c r="N106" s="1278"/>
      <c r="O106" s="1278"/>
      <c r="P106" s="598"/>
      <c r="AA106" s="312" t="str">
        <f>Kriterien!R4</f>
        <v>0= nicht erfüllt
1= erfüllt</v>
      </c>
      <c r="AB106" s="316" t="str">
        <f>Kriterien!S4</f>
        <v>0= non rempli
1= rempli</v>
      </c>
      <c r="AC106" s="362" t="str">
        <f t="shared" si="4"/>
        <v>0= nicht erfüllt
1= erfüllt</v>
      </c>
      <c r="AD106" s="672" t="str">
        <f>Kriterien!U4</f>
        <v>0= nicht erfüllt
1= teilweise erfüllt
2= vollständig erfüllt</v>
      </c>
      <c r="AE106" s="621" t="str">
        <f>Kriterien!V4</f>
        <v>0= non rempli
1= partiellement rempli
2= totalement rempli</v>
      </c>
      <c r="AF106" s="617" t="str">
        <f t="shared" si="5"/>
        <v>0= nicht erfüllt
1= teilweise erfüllt
2= vollständig erfüllt</v>
      </c>
    </row>
    <row r="107" spans="1:32" s="356" customFormat="1" ht="30" customHeight="1">
      <c r="A107" s="439"/>
      <c r="B107" s="440"/>
      <c r="C107" s="1231"/>
      <c r="D107" s="432"/>
      <c r="E107" s="39">
        <v>1</v>
      </c>
      <c r="F107" s="117" t="str">
        <f t="shared" ref="F107:F171" si="26">AC107</f>
        <v>Merkmale einer IS und Kennzahlen</v>
      </c>
      <c r="G107" s="542" t="str">
        <f>AF107</f>
        <v/>
      </c>
      <c r="H107" s="564"/>
      <c r="I107" s="565"/>
      <c r="J107" s="687"/>
      <c r="K107" s="722" t="str">
        <f>F107</f>
        <v>Merkmale einer IS und Kennzahlen</v>
      </c>
      <c r="L107" s="1255"/>
      <c r="M107" s="1286"/>
      <c r="N107" s="1287"/>
      <c r="O107" s="1288"/>
      <c r="P107" s="1289"/>
      <c r="AA107" s="357" t="str">
        <f>Kriterien!R23</f>
        <v>Merkmale einer IS und Kennzahlen</v>
      </c>
      <c r="AB107" s="358" t="str">
        <f>Kriterien!S23</f>
        <v>Caractéristiques d'une USI et indicateurs chiffrés</v>
      </c>
      <c r="AC107" s="363" t="str">
        <f t="shared" si="4"/>
        <v>Merkmale einer IS und Kennzahlen</v>
      </c>
      <c r="AD107" s="673">
        <f>Kriterien!U23</f>
        <v>0</v>
      </c>
      <c r="AE107" s="622">
        <f>Kriterien!V23</f>
        <v>0</v>
      </c>
      <c r="AF107" s="623" t="str">
        <f t="shared" si="5"/>
        <v/>
      </c>
    </row>
    <row r="108" spans="1:32" s="359" customFormat="1" ht="30" customHeight="1">
      <c r="A108" s="305"/>
      <c r="B108" s="306"/>
      <c r="C108" s="2157"/>
      <c r="D108" s="433"/>
      <c r="E108" s="579">
        <v>1.1000000000000001</v>
      </c>
      <c r="F108" s="118" t="str">
        <f t="shared" si="26"/>
        <v>Allgemeine Organisation</v>
      </c>
      <c r="G108" s="543" t="str">
        <f>AF108</f>
        <v/>
      </c>
      <c r="H108" s="566"/>
      <c r="I108" s="567"/>
      <c r="J108" s="688"/>
      <c r="K108" s="723" t="str">
        <f t="shared" ref="K108:K172" si="27">F108</f>
        <v>Allgemeine Organisation</v>
      </c>
      <c r="L108" s="1256"/>
      <c r="M108" s="1284"/>
      <c r="N108" s="1279"/>
      <c r="O108" s="595"/>
      <c r="P108" s="599"/>
      <c r="AA108" s="360" t="str">
        <f>Kriterien!R24</f>
        <v>Allgemeine Organisation</v>
      </c>
      <c r="AB108" s="361" t="str">
        <f>Kriterien!S24</f>
        <v>Organisation générale</v>
      </c>
      <c r="AC108" s="364" t="str">
        <f t="shared" si="4"/>
        <v>Allgemeine Organisation</v>
      </c>
      <c r="AD108" s="673">
        <f>Kriterien!U24</f>
        <v>0</v>
      </c>
      <c r="AE108" s="622">
        <f>Kriterien!V24</f>
        <v>0</v>
      </c>
      <c r="AF108" s="623" t="str">
        <f t="shared" si="5"/>
        <v/>
      </c>
    </row>
    <row r="109" spans="1:32" s="116" customFormat="1" ht="40" customHeight="1">
      <c r="A109" s="305">
        <f>'2 Autodeklaration'!A22</f>
        <v>0</v>
      </c>
      <c r="B109" s="306"/>
      <c r="C109" s="527"/>
      <c r="D109" s="433"/>
      <c r="E109" s="580" t="s">
        <v>166</v>
      </c>
      <c r="F109" s="120" t="str">
        <f t="shared" si="26"/>
        <v>Ein internes Organisationsreglement regelt den Arbeitsablauf des ärztlichen Personals und des Pflegepersonals</v>
      </c>
      <c r="G109" s="544" t="str">
        <f>AF109</f>
        <v>Dokument</v>
      </c>
      <c r="H109" s="566" t="str">
        <f>IF('2 Autodeklaration'!F22=0,"",'2 Autodeklaration'!F22)</f>
        <v/>
      </c>
      <c r="I109" s="567"/>
      <c r="J109" s="688"/>
      <c r="K109" s="724" t="str">
        <f t="shared" si="27"/>
        <v>Ein internes Organisationsreglement regelt den Arbeitsablauf des ärztlichen Personals und des Pflegepersonals</v>
      </c>
      <c r="L109" s="1256"/>
      <c r="M109" s="1284"/>
      <c r="N109" s="1279"/>
      <c r="O109" s="595"/>
      <c r="P109" s="599"/>
      <c r="AA109" s="360" t="str">
        <f>Kriterien!R25</f>
        <v>Ein internes Organisationsreglement regelt den Arbeitsablauf des ärztlichen Personals und des Pflegepersonals</v>
      </c>
      <c r="AB109" s="361" t="str">
        <f>Kriterien!S25</f>
        <v>Un règlement d'organisation interne définit les modalités de fonctionnement du personnel médico-soignant.</v>
      </c>
      <c r="AC109" s="364" t="str">
        <f t="shared" si="4"/>
        <v>Ein internes Organisationsreglement regelt den Arbeitsablauf des ärztlichen Personals und des Pflegepersonals</v>
      </c>
      <c r="AD109" s="673" t="str">
        <f>Kriterien!U25</f>
        <v>Dokument</v>
      </c>
      <c r="AE109" s="622" t="str">
        <f>Kriterien!V25</f>
        <v>Document</v>
      </c>
      <c r="AF109" s="623" t="str">
        <f t="shared" si="5"/>
        <v>Dokument</v>
      </c>
    </row>
    <row r="110" spans="1:32" s="116" customFormat="1" ht="40" customHeight="1">
      <c r="A110" s="305">
        <f>'2 Autodeklaration'!A23</f>
        <v>0</v>
      </c>
      <c r="B110" s="306"/>
      <c r="C110" s="299"/>
      <c r="D110" s="433"/>
      <c r="E110" s="580" t="s">
        <v>167</v>
      </c>
      <c r="F110" s="122" t="str">
        <f t="shared" si="26"/>
        <v xml:space="preserve">Bei Eintritt und bei Austritt wird bei jedem Patienten ein Übergaberapport auf ärztlicher und auf pflegerischer Ebene durchgeführt. </v>
      </c>
      <c r="G110" s="545" t="str">
        <f t="shared" ref="G110:G122" si="28">AF110</f>
        <v>Visitation</v>
      </c>
      <c r="H110" s="566" t="str">
        <f>IF('2 Autodeklaration'!F23=0,"",'2 Autodeklaration'!F23)</f>
        <v/>
      </c>
      <c r="I110" s="567"/>
      <c r="J110" s="688"/>
      <c r="K110" s="725" t="str">
        <f t="shared" si="27"/>
        <v xml:space="preserve">Bei Eintritt und bei Austritt wird bei jedem Patienten ein Übergaberapport auf ärztlicher und auf pflegerischer Ebene durchgeführt. </v>
      </c>
      <c r="L110" s="1256"/>
      <c r="M110" s="1284"/>
      <c r="N110" s="1279"/>
      <c r="O110" s="595"/>
      <c r="P110" s="599"/>
      <c r="AA110" s="360" t="str">
        <f>Kriterien!R26</f>
        <v xml:space="preserve">Bei Eintritt und bei Austritt wird bei jedem Patienten ein Übergaberapport auf ärztlicher und auf pflegerischer Ebene durchgeführt. </v>
      </c>
      <c r="AB110" s="361" t="str">
        <f>Kriterien!S26</f>
        <v xml:space="preserve">Que ce soit à son admission ou à sa sortie de l'USI, chaque patient fait l'objet d'un rapport de transfert médical et infirmier. </v>
      </c>
      <c r="AC110" s="364" t="str">
        <f t="shared" si="4"/>
        <v xml:space="preserve">Bei Eintritt und bei Austritt wird bei jedem Patienten ein Übergaberapport auf ärztlicher und auf pflegerischer Ebene durchgeführt. </v>
      </c>
      <c r="AD110" s="673" t="str">
        <f>Kriterien!U26</f>
        <v>Visitation</v>
      </c>
      <c r="AE110" s="622" t="str">
        <f>Kriterien!V26</f>
        <v>Visite</v>
      </c>
      <c r="AF110" s="623" t="str">
        <f t="shared" si="5"/>
        <v>Visitation</v>
      </c>
    </row>
    <row r="111" spans="1:32" s="116" customFormat="1" ht="40" customHeight="1">
      <c r="A111" s="305">
        <f>'2 Autodeklaration'!A24</f>
        <v>0</v>
      </c>
      <c r="B111" s="306"/>
      <c r="C111" s="299"/>
      <c r="D111" s="433"/>
      <c r="E111" s="580" t="s">
        <v>168</v>
      </c>
      <c r="F111" s="122" t="str">
        <f t="shared" si="26"/>
        <v>Alle Unterlagen müssen entweder elektronisch oder als physikalisch vorhandene Kopie verfügbar sein.</v>
      </c>
      <c r="G111" s="546" t="str">
        <f t="shared" si="28"/>
        <v/>
      </c>
      <c r="H111" s="566" t="str">
        <f>IF('2 Autodeklaration'!F24=0,"",'2 Autodeklaration'!F24)</f>
        <v/>
      </c>
      <c r="I111" s="567"/>
      <c r="J111" s="688"/>
      <c r="K111" s="725" t="str">
        <f t="shared" si="27"/>
        <v>Alle Unterlagen müssen entweder elektronisch oder als physikalisch vorhandene Kopie verfügbar sein.</v>
      </c>
      <c r="L111" s="1256"/>
      <c r="M111" s="1284"/>
      <c r="N111" s="1279"/>
      <c r="O111" s="595"/>
      <c r="P111" s="599"/>
      <c r="AA111" s="360" t="str">
        <f>Kriterien!R27</f>
        <v>Alle Unterlagen müssen entweder elektronisch oder als physikalisch vorhandene Kopie verfügbar sein.</v>
      </c>
      <c r="AB111" s="361" t="str">
        <f>Kriterien!S27</f>
        <v>Tous les documents du dossier doivent être disponibles soit sous forme éléctonique, soit sous forme d'un dossier physique.</v>
      </c>
      <c r="AC111" s="364" t="str">
        <f t="shared" si="4"/>
        <v>Alle Unterlagen müssen entweder elektronisch oder als physikalisch vorhandene Kopie verfügbar sein.</v>
      </c>
      <c r="AD111" s="673">
        <f>Kriterien!U27</f>
        <v>0</v>
      </c>
      <c r="AE111" s="622">
        <f>Kriterien!V27</f>
        <v>0</v>
      </c>
      <c r="AF111" s="623" t="str">
        <f t="shared" si="5"/>
        <v/>
      </c>
    </row>
    <row r="112" spans="1:32" s="116" customFormat="1" ht="40" customHeight="1">
      <c r="A112" s="305">
        <f>'2 Autodeklaration'!A25</f>
        <v>0</v>
      </c>
      <c r="B112" s="306"/>
      <c r="C112" s="299"/>
      <c r="D112" s="433"/>
      <c r="E112" s="580" t="s">
        <v>169</v>
      </c>
      <c r="F112" s="122" t="str">
        <f t="shared" si="26"/>
        <v xml:space="preserve">Alle Unterlagen bleiben bei internen Verlegungen beim Patienten und/oder sind für die Nachbetreuenden verfügbar.  </v>
      </c>
      <c r="G112" s="545" t="str">
        <f t="shared" si="28"/>
        <v>Visitation</v>
      </c>
      <c r="H112" s="566" t="str">
        <f>IF('2 Autodeklaration'!F25=0,"",'2 Autodeklaration'!F25)</f>
        <v/>
      </c>
      <c r="I112" s="567"/>
      <c r="J112" s="688"/>
      <c r="K112" s="725" t="str">
        <f t="shared" si="27"/>
        <v xml:space="preserve">Alle Unterlagen bleiben bei internen Verlegungen beim Patienten und/oder sind für die Nachbetreuenden verfügbar.  </v>
      </c>
      <c r="L112" s="1256"/>
      <c r="M112" s="1284"/>
      <c r="N112" s="1279"/>
      <c r="O112" s="595"/>
      <c r="P112" s="599"/>
      <c r="AA112" s="360" t="str">
        <f>Kriterien!R28</f>
        <v xml:space="preserve">Alle Unterlagen bleiben bei internen Verlegungen beim Patienten und/oder sind für die Nachbetreuenden verfügbar.  </v>
      </c>
      <c r="AB112" s="361" t="str">
        <f>Kriterien!S28</f>
        <v>Lors  des  transferts  internes,  l'intégralité  des  documents  restent  auprès  du patient et/ou sont disponibles pour les soignants en charge du suivi.</v>
      </c>
      <c r="AC112" s="364" t="str">
        <f t="shared" si="4"/>
        <v xml:space="preserve">Alle Unterlagen bleiben bei internen Verlegungen beim Patienten und/oder sind für die Nachbetreuenden verfügbar.  </v>
      </c>
      <c r="AD112" s="673" t="str">
        <f>Kriterien!U28</f>
        <v>Visitation</v>
      </c>
      <c r="AE112" s="622" t="str">
        <f>Kriterien!V28</f>
        <v>Visite</v>
      </c>
      <c r="AF112" s="623" t="str">
        <f t="shared" si="5"/>
        <v>Visitation</v>
      </c>
    </row>
    <row r="113" spans="1:32" s="116" customFormat="1" ht="30" customHeight="1">
      <c r="A113" s="305">
        <f>'2 Autodeklaration'!A26</f>
        <v>0</v>
      </c>
      <c r="B113" s="306"/>
      <c r="C113" s="299"/>
      <c r="D113" s="433"/>
      <c r="E113" s="580" t="s">
        <v>170</v>
      </c>
      <c r="F113" s="122" t="str">
        <f t="shared" si="26"/>
        <v xml:space="preserve">Die Ärzte der IS führen für jeden Patienten eine Krankengeschichte. </v>
      </c>
      <c r="G113" s="546" t="str">
        <f t="shared" si="28"/>
        <v/>
      </c>
      <c r="H113" s="566" t="str">
        <f>IF('2 Autodeklaration'!F26=0,"",'2 Autodeklaration'!F26)</f>
        <v/>
      </c>
      <c r="I113" s="567"/>
      <c r="J113" s="688"/>
      <c r="K113" s="725" t="str">
        <f t="shared" si="27"/>
        <v xml:space="preserve">Die Ärzte der IS führen für jeden Patienten eine Krankengeschichte. </v>
      </c>
      <c r="L113" s="1256"/>
      <c r="M113" s="1284"/>
      <c r="N113" s="1279"/>
      <c r="O113" s="595"/>
      <c r="P113" s="599"/>
      <c r="AA113" s="360" t="str">
        <f>Kriterien!R29</f>
        <v xml:space="preserve">Die Ärzte der IS führen für jeden Patienten eine Krankengeschichte. </v>
      </c>
      <c r="AB113" s="361" t="str">
        <f>Kriterien!S29</f>
        <v>Les médecins de l'USI établissent un dossier médical pour chaque patient.</v>
      </c>
      <c r="AC113" s="364" t="str">
        <f t="shared" si="4"/>
        <v xml:space="preserve">Die Ärzte der IS führen für jeden Patienten eine Krankengeschichte. </v>
      </c>
      <c r="AD113" s="673">
        <f>Kriterien!U29</f>
        <v>0</v>
      </c>
      <c r="AE113" s="622">
        <f>Kriterien!V29</f>
        <v>0</v>
      </c>
      <c r="AF113" s="623" t="str">
        <f t="shared" si="5"/>
        <v/>
      </c>
    </row>
    <row r="114" spans="1:32" s="116" customFormat="1" ht="85" customHeight="1">
      <c r="A114" s="305">
        <f>'2 Autodeklaration'!A27</f>
        <v>0</v>
      </c>
      <c r="B114" s="306"/>
      <c r="C114" s="299"/>
      <c r="D114" s="433"/>
      <c r="E114" s="580" t="s">
        <v>171</v>
      </c>
      <c r="F114" s="122" t="str">
        <f t="shared" si="26"/>
        <v xml:space="preserve">Bei Verlegungen von Patienten der IS in ein anderes Spital werden ein aktueller Bericht sowie Kopien aller relevanten Befunde und Dokumente mitgegeben. </v>
      </c>
      <c r="G114" s="545" t="str">
        <f t="shared" si="28"/>
        <v>Visitation, Dokument, Datei</v>
      </c>
      <c r="H114" s="566" t="str">
        <f>IF('2 Autodeklaration'!F27=0,"",'2 Autodeklaration'!F27)</f>
        <v/>
      </c>
      <c r="I114" s="567"/>
      <c r="J114" s="688"/>
      <c r="K114" s="725" t="str">
        <f t="shared" si="27"/>
        <v xml:space="preserve">Bei Verlegungen von Patienten der IS in ein anderes Spital werden ein aktueller Bericht sowie Kopien aller relevanten Befunde und Dokumente mitgegeben. </v>
      </c>
      <c r="L114" s="1256"/>
      <c r="M114" s="1284"/>
      <c r="N114" s="1279"/>
      <c r="O114" s="595"/>
      <c r="P114" s="599"/>
      <c r="AA114" s="360" t="str">
        <f>Kriterien!R30</f>
        <v xml:space="preserve">Bei Verlegungen von Patienten der IS in ein anderes Spital werden ein aktueller Bericht sowie Kopien aller relevanten Befunde und Dokumente mitgegeben. </v>
      </c>
      <c r="AB114" s="361" t="str">
        <f>Kriterien!S30</f>
        <v xml:space="preserve">En cas de transfert de patients de l’USI vers un autre hôpital, un rapport actualisé ainsi que des copies de tous les résultats d'examen et documents importants sont transmis avec le patient. </v>
      </c>
      <c r="AC114" s="364" t="str">
        <f t="shared" si="4"/>
        <v xml:space="preserve">Bei Verlegungen von Patienten der IS in ein anderes Spital werden ein aktueller Bericht sowie Kopien aller relevanten Befunde und Dokumente mitgegeben. </v>
      </c>
      <c r="AD114" s="673" t="str">
        <f>Kriterien!U30</f>
        <v>Visitation, Dokument, Datei</v>
      </c>
      <c r="AE114" s="622" t="str">
        <f>Kriterien!V30</f>
        <v>Visite, Document, Fichier</v>
      </c>
      <c r="AF114" s="623" t="str">
        <f t="shared" si="5"/>
        <v>Visitation, Dokument, Datei</v>
      </c>
    </row>
    <row r="115" spans="1:32" s="116" customFormat="1" ht="67" customHeight="1">
      <c r="A115" s="305">
        <f>'2 Autodeklaration'!A28</f>
        <v>0</v>
      </c>
      <c r="B115" s="306"/>
      <c r="C115" s="299"/>
      <c r="D115" s="433"/>
      <c r="E115" s="580" t="s">
        <v>172</v>
      </c>
      <c r="F115" s="120" t="str">
        <f t="shared" si="26"/>
        <v>Eine Kartei/Datei hält Reparaturdaten und technische Kontrollen aller Geräte fest.</v>
      </c>
      <c r="G115" s="545" t="str">
        <f t="shared" si="28"/>
        <v>Visitation, Dokument, Datei</v>
      </c>
      <c r="H115" s="566" t="str">
        <f>IF('2 Autodeklaration'!F28=0,"",'2 Autodeklaration'!F28)</f>
        <v/>
      </c>
      <c r="I115" s="567"/>
      <c r="J115" s="688"/>
      <c r="K115" s="724" t="str">
        <f t="shared" si="27"/>
        <v>Eine Kartei/Datei hält Reparaturdaten und technische Kontrollen aller Geräte fest.</v>
      </c>
      <c r="L115" s="1256"/>
      <c r="M115" s="1284"/>
      <c r="N115" s="1279"/>
      <c r="O115" s="595"/>
      <c r="P115" s="599"/>
      <c r="AA115" s="360" t="str">
        <f>Kriterien!R31</f>
        <v>Eine Kartei/Datei hält Reparaturdaten und technische Kontrollen aller Geräte fest.</v>
      </c>
      <c r="AB115" s="361" t="str">
        <f>Kriterien!S31</f>
        <v>Chaque  appareil  dispose  d'une  fiche/d'un  fichier  sur lequel  sont notifiées les informations relatives à ses réparations et les contrôles techniques.</v>
      </c>
      <c r="AC115" s="364" t="str">
        <f t="shared" si="4"/>
        <v>Eine Kartei/Datei hält Reparaturdaten und technische Kontrollen aller Geräte fest.</v>
      </c>
      <c r="AD115" s="673" t="str">
        <f>Kriterien!U31</f>
        <v>Visitation, Dokument, Datei</v>
      </c>
      <c r="AE115" s="622" t="str">
        <f>Kriterien!V31</f>
        <v>Visite, Document, Fichier</v>
      </c>
      <c r="AF115" s="623" t="str">
        <f t="shared" si="5"/>
        <v>Visitation, Dokument, Datei</v>
      </c>
    </row>
    <row r="116" spans="1:32" s="359" customFormat="1" ht="30" customHeight="1">
      <c r="A116" s="305"/>
      <c r="B116" s="306"/>
      <c r="C116" s="2157"/>
      <c r="D116" s="433"/>
      <c r="E116" s="579">
        <v>1.2</v>
      </c>
      <c r="F116" s="118" t="str">
        <f t="shared" si="26"/>
        <v>Datenerfassung</v>
      </c>
      <c r="G116" s="543" t="str">
        <f t="shared" si="28"/>
        <v/>
      </c>
      <c r="H116" s="566" t="str">
        <f>IF('2 Autodeklaration'!F29=0,"",'2 Autodeklaration'!F29)</f>
        <v/>
      </c>
      <c r="I116" s="567"/>
      <c r="J116" s="688"/>
      <c r="K116" s="723" t="str">
        <f t="shared" si="27"/>
        <v>Datenerfassung</v>
      </c>
      <c r="L116" s="1256"/>
      <c r="M116" s="1284"/>
      <c r="N116" s="1279"/>
      <c r="O116" s="595"/>
      <c r="P116" s="599"/>
      <c r="AA116" s="360" t="str">
        <f>Kriterien!R32</f>
        <v>Datenerfassung</v>
      </c>
      <c r="AB116" s="361" t="str">
        <f>Kriterien!S32</f>
        <v>Saisie des données</v>
      </c>
      <c r="AC116" s="364" t="str">
        <f t="shared" si="4"/>
        <v>Datenerfassung</v>
      </c>
      <c r="AD116" s="673">
        <f>Kriterien!U32</f>
        <v>0</v>
      </c>
      <c r="AE116" s="622">
        <f>Kriterien!V32</f>
        <v>0</v>
      </c>
      <c r="AF116" s="623" t="str">
        <f t="shared" si="5"/>
        <v/>
      </c>
    </row>
    <row r="117" spans="1:32" s="116" customFormat="1" ht="45">
      <c r="A117" s="305">
        <f>'2 Autodeklaration'!A30</f>
        <v>0</v>
      </c>
      <c r="B117" s="306"/>
      <c r="C117" s="299"/>
      <c r="D117" s="433"/>
      <c r="E117" s="580" t="s">
        <v>173</v>
      </c>
      <c r="F117" s="120" t="str">
        <f t="shared" si="26"/>
        <v>Die Verantwortlichen der IS erfassen Daten gemäss den Vorgaben des MDSi der SGI.</v>
      </c>
      <c r="G117" s="543" t="str">
        <f t="shared" si="28"/>
        <v/>
      </c>
      <c r="H117" s="566" t="str">
        <f>IF('2 Autodeklaration'!F30=0,"",'2 Autodeklaration'!F30)</f>
        <v/>
      </c>
      <c r="I117" s="567"/>
      <c r="J117" s="688"/>
      <c r="K117" s="724" t="str">
        <f t="shared" si="27"/>
        <v>Die Verantwortlichen der IS erfassen Daten gemäss den Vorgaben des MDSi der SGI.</v>
      </c>
      <c r="L117" s="1256"/>
      <c r="M117" s="1284"/>
      <c r="N117" s="1279"/>
      <c r="O117" s="595"/>
      <c r="P117" s="599"/>
      <c r="AA117" s="360" t="str">
        <f>Kriterien!R33</f>
        <v>Die Verantwortlichen der IS erfassen Daten gemäss den Vorgaben des MDSi der SGI.</v>
      </c>
      <c r="AB117" s="361" t="str">
        <f>Kriterien!S33</f>
        <v>Les  responsables  de l'USI  saisissent  les données  selon  les prescriptions  du MDSi de la SSMI.</v>
      </c>
      <c r="AC117" s="364" t="str">
        <f t="shared" si="4"/>
        <v>Die Verantwortlichen der IS erfassen Daten gemäss den Vorgaben des MDSi der SGI.</v>
      </c>
      <c r="AD117" s="673">
        <f>Kriterien!U33</f>
        <v>0</v>
      </c>
      <c r="AE117" s="622">
        <f>Kriterien!V33</f>
        <v>0</v>
      </c>
      <c r="AF117" s="623" t="str">
        <f t="shared" si="5"/>
        <v/>
      </c>
    </row>
    <row r="118" spans="1:32" s="116" customFormat="1" ht="60">
      <c r="A118" s="305">
        <f>'2 Autodeklaration'!A31</f>
        <v>0</v>
      </c>
      <c r="B118" s="306"/>
      <c r="C118" s="299"/>
      <c r="D118" s="433"/>
      <c r="E118" s="580" t="s">
        <v>174</v>
      </c>
      <c r="F118" s="122" t="str">
        <f t="shared" si="26"/>
        <v>Die Strukturdaten des vergangenen Jahres sind bis spätestens 28. Februar auf dem zentralen Server.</v>
      </c>
      <c r="G118" s="546" t="str">
        <f t="shared" si="28"/>
        <v/>
      </c>
      <c r="H118" s="566" t="str">
        <f>IF('2 Autodeklaration'!F31=0,"",'2 Autodeklaration'!F31)</f>
        <v/>
      </c>
      <c r="I118" s="567"/>
      <c r="J118" s="688"/>
      <c r="K118" s="725" t="str">
        <f t="shared" si="27"/>
        <v>Die Strukturdaten des vergangenen Jahres sind bis spätestens 28. Februar auf dem zentralen Server.</v>
      </c>
      <c r="L118" s="1256"/>
      <c r="M118" s="1284"/>
      <c r="N118" s="1279"/>
      <c r="O118" s="595"/>
      <c r="P118" s="599"/>
      <c r="AA118" s="360" t="str">
        <f>Kriterien!R34</f>
        <v>Die Strukturdaten des vergangenen Jahres sind bis spätestens 28. Februar auf dem zentralen Server.</v>
      </c>
      <c r="AB118" s="361" t="str">
        <f>Kriterien!S34</f>
        <v>Les données structurelles de l'année précédente sont conservées jusqu'a 28 février au plus tard sur le serveur central.</v>
      </c>
      <c r="AC118" s="364" t="str">
        <f t="shared" si="4"/>
        <v>Die Strukturdaten des vergangenen Jahres sind bis spätestens 28. Februar auf dem zentralen Server.</v>
      </c>
      <c r="AD118" s="673">
        <f>Kriterien!U34</f>
        <v>0</v>
      </c>
      <c r="AE118" s="622">
        <f>Kriterien!V34</f>
        <v>0</v>
      </c>
      <c r="AF118" s="623" t="str">
        <f t="shared" si="5"/>
        <v/>
      </c>
    </row>
    <row r="119" spans="1:32" s="359" customFormat="1" ht="30" customHeight="1">
      <c r="A119" s="305"/>
      <c r="B119" s="306"/>
      <c r="C119" s="2157"/>
      <c r="D119" s="433"/>
      <c r="E119" s="579">
        <v>1.3</v>
      </c>
      <c r="F119" s="118" t="str">
        <f t="shared" si="26"/>
        <v>Bettenzahl</v>
      </c>
      <c r="G119" s="547" t="str">
        <f t="shared" si="28"/>
        <v/>
      </c>
      <c r="H119" s="566" t="str">
        <f>IF('2 Autodeklaration'!F32=0,"",'2 Autodeklaration'!F32)</f>
        <v/>
      </c>
      <c r="I119" s="567"/>
      <c r="J119" s="688"/>
      <c r="K119" s="723" t="str">
        <f t="shared" si="27"/>
        <v>Bettenzahl</v>
      </c>
      <c r="L119" s="1256"/>
      <c r="M119" s="1284"/>
      <c r="N119" s="1279"/>
      <c r="O119" s="595"/>
      <c r="P119" s="599"/>
      <c r="Q119" s="116"/>
      <c r="R119" s="116"/>
      <c r="S119" s="116"/>
      <c r="T119" s="116"/>
      <c r="U119" s="116"/>
      <c r="V119" s="116"/>
      <c r="W119" s="116"/>
      <c r="X119" s="116"/>
      <c r="Y119" s="116"/>
      <c r="Z119" s="116"/>
      <c r="AA119" s="360" t="str">
        <f>Kriterien!R35</f>
        <v>Bettenzahl</v>
      </c>
      <c r="AB119" s="361" t="str">
        <f>Kriterien!S35</f>
        <v>Nombre de lits</v>
      </c>
      <c r="AC119" s="364" t="str">
        <f t="shared" si="4"/>
        <v>Bettenzahl</v>
      </c>
      <c r="AD119" s="673">
        <f>Kriterien!U35</f>
        <v>0</v>
      </c>
      <c r="AE119" s="622">
        <f>Kriterien!V35</f>
        <v>0</v>
      </c>
      <c r="AF119" s="623" t="str">
        <f t="shared" si="5"/>
        <v/>
      </c>
    </row>
    <row r="120" spans="1:32" s="116" customFormat="1" ht="30" customHeight="1">
      <c r="A120" s="305">
        <f>'2 Autodeklaration'!A33</f>
        <v>0</v>
      </c>
      <c r="B120" s="306"/>
      <c r="C120" s="299"/>
      <c r="D120" s="433"/>
      <c r="E120" s="580" t="s">
        <v>175</v>
      </c>
      <c r="F120" s="121" t="str">
        <f t="shared" si="26"/>
        <v>Minimale Anzahl betriebener Betten: 6</v>
      </c>
      <c r="G120" s="544" t="str">
        <f t="shared" si="28"/>
        <v>Dokument, Visitation</v>
      </c>
      <c r="H120" s="566" t="str">
        <f>IF('2 Autodeklaration'!F33=0,"",'2 Autodeklaration'!F33)</f>
        <v/>
      </c>
      <c r="I120" s="567"/>
      <c r="J120" s="688"/>
      <c r="K120" s="726" t="str">
        <f t="shared" si="27"/>
        <v>Minimale Anzahl betriebener Betten: 6</v>
      </c>
      <c r="L120" s="1256"/>
      <c r="M120" s="1284"/>
      <c r="N120" s="1279"/>
      <c r="O120" s="595"/>
      <c r="P120" s="599"/>
      <c r="AA120" s="360" t="str">
        <f>Kriterien!R36</f>
        <v>Minimale Anzahl betriebener Betten: 6</v>
      </c>
      <c r="AB120" s="361" t="str">
        <f>Kriterien!S36</f>
        <v>Nombre minimum de lits exploités : 6</v>
      </c>
      <c r="AC120" s="364" t="str">
        <f t="shared" si="4"/>
        <v>Minimale Anzahl betriebener Betten: 6</v>
      </c>
      <c r="AD120" s="673" t="str">
        <f>Kriterien!U36</f>
        <v>Dokument, Visitation</v>
      </c>
      <c r="AE120" s="622" t="str">
        <f>Kriterien!V36</f>
        <v>Document, Visite</v>
      </c>
      <c r="AF120" s="623" t="str">
        <f t="shared" si="5"/>
        <v>Dokument, Visitation</v>
      </c>
    </row>
    <row r="121" spans="1:32" s="116" customFormat="1" ht="80" customHeight="1">
      <c r="A121" s="305"/>
      <c r="B121" s="306">
        <f>'2 Autodeklaration'!B34</f>
        <v>0</v>
      </c>
      <c r="C121" s="2157"/>
      <c r="D121" s="300"/>
      <c r="E121" s="581" t="s">
        <v>176</v>
      </c>
      <c r="F121" s="121" t="str">
        <f t="shared" si="26"/>
        <v>Betriebene Betten ≥ 12 sollten in funktionelle Untereinheiten aufgeteilt sein. Für IS mit &lt;12 Betten wird im Feld «Kann-Kriterium» eine «2» eingetragen.</v>
      </c>
      <c r="G121" s="544" t="str">
        <f t="shared" si="28"/>
        <v>Dokument, Visitation</v>
      </c>
      <c r="H121" s="566" t="str">
        <f>IF('2 Autodeklaration'!F34=0,"",'2 Autodeklaration'!F34)</f>
        <v/>
      </c>
      <c r="I121" s="567"/>
      <c r="J121" s="688"/>
      <c r="K121" s="726" t="str">
        <f t="shared" si="27"/>
        <v>Betriebene Betten ≥ 12 sollten in funktionelle Untereinheiten aufgeteilt sein. Für IS mit &lt;12 Betten wird im Feld «Kann-Kriterium» eine «2» eingetragen.</v>
      </c>
      <c r="L121" s="1256"/>
      <c r="M121" s="1284"/>
      <c r="N121" s="1279"/>
      <c r="O121" s="595"/>
      <c r="P121" s="599"/>
      <c r="AA121" s="360" t="str">
        <f>Kriterien!R37</f>
        <v>Betriebene Betten ≥ 12 sollten in funktionelle Untereinheiten aufgeteilt sein. Für IS mit &lt;12 Betten wird im Feld «Kann-Kriterium» eine «2» eingetragen.</v>
      </c>
      <c r="AB121" s="361" t="str">
        <f>Kriterien!S37</f>
        <v>Pour un nombre de lits exploités ≥ 12, il est conseillé d'organiser l'USI en secteurs fonctionnels distincts. Pour les USI avec &lt; 12 lits, on inscrit "2" comme critère souhaitable.</v>
      </c>
      <c r="AC121" s="364" t="str">
        <f t="shared" si="4"/>
        <v>Betriebene Betten ≥ 12 sollten in funktionelle Untereinheiten aufgeteilt sein. Für IS mit &lt;12 Betten wird im Feld «Kann-Kriterium» eine «2» eingetragen.</v>
      </c>
      <c r="AD121" s="673" t="str">
        <f>Kriterien!U37</f>
        <v>Dokument, Visitation</v>
      </c>
      <c r="AE121" s="622" t="str">
        <f>Kriterien!V37</f>
        <v>Document, Visite</v>
      </c>
      <c r="AF121" s="623" t="str">
        <f t="shared" si="5"/>
        <v>Dokument, Visitation</v>
      </c>
    </row>
    <row r="122" spans="1:32" s="359" customFormat="1" ht="30" customHeight="1">
      <c r="A122" s="305"/>
      <c r="B122" s="306"/>
      <c r="C122" s="2157"/>
      <c r="D122" s="433"/>
      <c r="E122" s="582">
        <v>1.4</v>
      </c>
      <c r="F122" s="127" t="str">
        <f t="shared" si="26"/>
        <v>Patienten, Kategorisierung/Schweregrad und Pflegetage</v>
      </c>
      <c r="G122" s="546" t="str">
        <f t="shared" si="28"/>
        <v/>
      </c>
      <c r="H122" s="566" t="str">
        <f>IF('2 Autodeklaration'!F35=0,"",'2 Autodeklaration'!F35)</f>
        <v/>
      </c>
      <c r="I122" s="567"/>
      <c r="J122" s="688"/>
      <c r="K122" s="727" t="str">
        <f t="shared" si="27"/>
        <v>Patienten, Kategorisierung/Schweregrad und Pflegetage</v>
      </c>
      <c r="L122" s="1256"/>
      <c r="M122" s="1284"/>
      <c r="N122" s="1279"/>
      <c r="O122" s="595"/>
      <c r="P122" s="599"/>
      <c r="Q122" s="116"/>
      <c r="R122" s="116"/>
      <c r="S122" s="116"/>
      <c r="T122" s="116"/>
      <c r="U122" s="116"/>
      <c r="V122" s="116"/>
      <c r="W122" s="116"/>
      <c r="X122" s="116"/>
      <c r="Y122" s="116"/>
      <c r="Z122" s="116"/>
      <c r="AA122" s="360" t="str">
        <f>Kriterien!R38</f>
        <v>Patienten, Kategorisierung/Schweregrad und Pflegetage</v>
      </c>
      <c r="AB122" s="361" t="str">
        <f>Kriterien!S38</f>
        <v>Patients, catégorisation/degré de gravité et journées de soins</v>
      </c>
      <c r="AC122" s="364" t="str">
        <f t="shared" si="4"/>
        <v>Patienten, Kategorisierung/Schweregrad und Pflegetage</v>
      </c>
      <c r="AD122" s="673">
        <f>Kriterien!U38</f>
        <v>0</v>
      </c>
      <c r="AE122" s="622">
        <f>Kriterien!V38</f>
        <v>0</v>
      </c>
      <c r="AF122" s="623" t="str">
        <f t="shared" si="5"/>
        <v/>
      </c>
    </row>
    <row r="123" spans="1:32" s="27" customFormat="1" ht="289" customHeight="1">
      <c r="A123" s="274"/>
      <c r="B123" s="443"/>
      <c r="C123" s="2158"/>
      <c r="D123" s="433"/>
      <c r="E123" s="583"/>
      <c r="F123" s="307" t="str">
        <f t="shared" si="26"/>
        <v xml:space="preserve">          Tabelle auf Deutsch</v>
      </c>
      <c r="G123" s="539" t="str">
        <f>AF123</f>
        <v xml:space="preserve">      Tabelle auf Französisch</v>
      </c>
      <c r="H123" s="566" t="str">
        <f>IF('2 Autodeklaration'!F36=0,"",'2 Autodeklaration'!F36)</f>
        <v/>
      </c>
      <c r="I123" s="1291"/>
      <c r="J123" s="688"/>
      <c r="K123" s="746" t="str">
        <f t="shared" si="27"/>
        <v xml:space="preserve">          Tabelle auf Deutsch</v>
      </c>
      <c r="L123" s="1256"/>
      <c r="M123" s="1284"/>
      <c r="N123" s="1279"/>
      <c r="O123" s="595"/>
      <c r="P123" s="599"/>
      <c r="Q123" s="112"/>
      <c r="R123" s="112"/>
      <c r="S123" s="112"/>
      <c r="T123" s="112"/>
      <c r="U123" s="112"/>
      <c r="V123" s="112"/>
      <c r="W123" s="112"/>
      <c r="X123" s="112"/>
      <c r="Y123" s="112"/>
      <c r="Z123" s="112"/>
      <c r="AA123" s="312" t="str">
        <f>Kriterien!R39</f>
        <v xml:space="preserve">          Tabelle auf Deutsch</v>
      </c>
      <c r="AB123" s="316" t="str">
        <f>Kriterien!S39</f>
        <v xml:space="preserve">          Tableau en Allemand</v>
      </c>
      <c r="AC123" s="362" t="str">
        <f t="shared" si="4"/>
        <v xml:space="preserve">          Tabelle auf Deutsch</v>
      </c>
      <c r="AD123" s="672" t="str">
        <f>Kriterien!U39</f>
        <v xml:space="preserve">      Tabelle auf Französisch</v>
      </c>
      <c r="AE123" s="624" t="str">
        <f>Kriterien!V39</f>
        <v xml:space="preserve">      Tableau en Français</v>
      </c>
      <c r="AF123" s="617" t="str">
        <f t="shared" si="5"/>
        <v xml:space="preserve">      Tabelle auf Französisch</v>
      </c>
    </row>
    <row r="124" spans="1:32" s="116" customFormat="1" ht="30" customHeight="1" thickBot="1">
      <c r="A124" s="305">
        <f>'2 Autodeklaration'!A37</f>
        <v>0</v>
      </c>
      <c r="B124" s="306"/>
      <c r="C124" s="299"/>
      <c r="D124" s="433"/>
      <c r="E124" s="581" t="s">
        <v>177</v>
      </c>
      <c r="F124" s="120" t="str">
        <f t="shared" si="26"/>
        <v>Die Patientenkategorisierung geschieht nach den Vorgaben des MDSi.</v>
      </c>
      <c r="G124" s="544" t="str">
        <f t="shared" ref="G124" si="29">AF124</f>
        <v>Visitation</v>
      </c>
      <c r="H124" s="566" t="str">
        <f>IF('2 Autodeklaration'!F37=0,"",'2 Autodeklaration'!F37)</f>
        <v/>
      </c>
      <c r="I124" s="567"/>
      <c r="J124" s="688"/>
      <c r="K124" s="724" t="str">
        <f t="shared" si="27"/>
        <v>Die Patientenkategorisierung geschieht nach den Vorgaben des MDSi.</v>
      </c>
      <c r="L124" s="1256"/>
      <c r="M124" s="1284"/>
      <c r="N124" s="1279"/>
      <c r="O124" s="595"/>
      <c r="P124" s="599"/>
      <c r="Q124" s="359"/>
      <c r="R124" s="359"/>
      <c r="S124" s="359"/>
      <c r="T124" s="359"/>
      <c r="U124" s="359"/>
      <c r="V124" s="359"/>
      <c r="W124" s="359"/>
      <c r="X124" s="359"/>
      <c r="Y124" s="359"/>
      <c r="Z124" s="359"/>
      <c r="AA124" s="360" t="str">
        <f>Kriterien!R40</f>
        <v>Die Patientenkategorisierung geschieht nach den Vorgaben des MDSi.</v>
      </c>
      <c r="AB124" s="361" t="str">
        <f>Kriterien!S40</f>
        <v>La catégorisation des patients s’effectue selon les prescriptions du MDSi.</v>
      </c>
      <c r="AC124" s="364" t="str">
        <f t="shared" si="4"/>
        <v>Die Patientenkategorisierung geschieht nach den Vorgaben des MDSi.</v>
      </c>
      <c r="AD124" s="673" t="str">
        <f>Kriterien!U40</f>
        <v>Visitation</v>
      </c>
      <c r="AE124" s="622" t="str">
        <f>Kriterien!V40</f>
        <v>Visite</v>
      </c>
      <c r="AF124" s="623" t="str">
        <f t="shared" si="5"/>
        <v>Visitation</v>
      </c>
    </row>
    <row r="125" spans="1:32" s="116" customFormat="1" ht="74.25" customHeight="1" thickBot="1">
      <c r="A125" s="305">
        <f>'2 Autodeklaration'!A38</f>
        <v>0</v>
      </c>
      <c r="B125" s="306"/>
      <c r="C125" s="299"/>
      <c r="D125" s="433"/>
      <c r="E125" s="581" t="s">
        <v>178</v>
      </c>
      <c r="F125" s="120" t="str">
        <f t="shared" si="26"/>
        <v>Alle Patienten, die auf der IS behandelt werden, inklusive Patienten nach Schlaganfall oder zukünftig andere Gruppen, werden nach den Kriterien des MDSi kategorisiert und statistisch erfasst.</v>
      </c>
      <c r="G125" s="544" t="str">
        <f t="shared" ref="G125:G189" si="30">AF125</f>
        <v>Visitation, Organisationsreglement</v>
      </c>
      <c r="H125" s="566"/>
      <c r="I125" s="567"/>
      <c r="J125" s="689"/>
      <c r="K125" s="724" t="str">
        <f t="shared" si="27"/>
        <v>Alle Patienten, die auf der IS behandelt werden, inklusive Patienten nach Schlaganfall oder zukünftig andere Gruppen, werden nach den Kriterien des MDSi kategorisiert und statistisch erfasst.</v>
      </c>
      <c r="L125" s="1257" t="str">
        <f>AF100&amp;E107&amp;". 
"&amp;F107</f>
        <v>Abschliessender Kommentar Kapitel 1. 
Merkmale einer IS und Kennzahlen</v>
      </c>
      <c r="M125" s="1284"/>
      <c r="N125" s="1279"/>
      <c r="O125" s="595"/>
      <c r="P125" s="599"/>
      <c r="Q125" s="359"/>
      <c r="R125" s="359"/>
      <c r="S125" s="359"/>
      <c r="T125" s="359"/>
      <c r="U125" s="359"/>
      <c r="V125" s="359"/>
      <c r="W125" s="359"/>
      <c r="X125" s="359"/>
      <c r="Y125" s="359"/>
      <c r="Z125" s="359"/>
      <c r="AA125" s="360" t="str">
        <f>Kriterien!R41</f>
        <v>Alle Patienten, die auf der IS behandelt werden, inklusive Patienten nach Schlaganfall oder zukünftig andere Gruppen, werden nach den Kriterien des MDSi kategorisiert und statistisch erfasst.</v>
      </c>
      <c r="AB125" s="361" t="str">
        <f>Kriterien!S41</f>
        <v>Tous les patients traités dans l'USI, y compris les patients qui ont été victimes d'une attaque cérébrale ou d'autres groupes à l'avenir, sont classés en fonction des critères prévus par le MDSi et inclus dans les données statistiques.</v>
      </c>
      <c r="AC125" s="364" t="str">
        <f t="shared" si="4"/>
        <v>Alle Patienten, die auf der IS behandelt werden, inklusive Patienten nach Schlaganfall oder zukünftig andere Gruppen, werden nach den Kriterien des MDSi kategorisiert und statistisch erfasst.</v>
      </c>
      <c r="AD125" s="673" t="str">
        <f>Kriterien!U41</f>
        <v>Visitation, Organisationsreglement</v>
      </c>
      <c r="AE125" s="622" t="str">
        <f>Kriterien!V41</f>
        <v>Visite, règlement d'organisation</v>
      </c>
      <c r="AF125" s="623" t="str">
        <f t="shared" si="5"/>
        <v>Visitation, Organisationsreglement</v>
      </c>
    </row>
    <row r="126" spans="1:32" s="116" customFormat="1" ht="281" customHeight="1">
      <c r="A126" s="305">
        <f>'2 Autodeklaration'!A39</f>
        <v>0</v>
      </c>
      <c r="B126" s="306"/>
      <c r="C126" s="299"/>
      <c r="D126" s="433"/>
      <c r="E126" s="581" t="s">
        <v>179</v>
      </c>
      <c r="F126" s="124" t="str">
        <f t="shared" si="26"/>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G126" s="544" t="str">
        <f t="shared" si="30"/>
        <v xml:space="preserve">MDSi      </v>
      </c>
      <c r="H126" s="566" t="str">
        <f>IF('2 Autodeklaration'!F39=0,"",'2 Autodeklaration'!F39)</f>
        <v/>
      </c>
      <c r="I126" s="567"/>
      <c r="J126" s="689"/>
      <c r="K126" s="728" t="str">
        <f t="shared" si="27"/>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L126" s="2279"/>
      <c r="M126" s="1284"/>
      <c r="N126" s="1279"/>
      <c r="O126" s="595"/>
      <c r="P126" s="599"/>
      <c r="AA126" s="360" t="str">
        <f>Kriterien!R42</f>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AB126" s="361" t="str">
        <f>Kriterien!S42</f>
        <v>L’USI doit totaliser au moins 1300 journées de soins par année (6 lits, 60 % d'occupation en moyenne) [1 000 journées pour les Unités de soins intensifs (USI) extraordinaires, le taux d'occupation n'est pas pertinent]. Seuls les chiffres prévus dans le MDSi sont applicables (journées de soins = total des horaires effectifs divisé par 3). (Dans le MDSi, les chiffres sont saisis sur la base d'horaires de 8 heures uniquement. La conversion d'horaires de 12 heures en horaires de 8 heures est effectuée selon les prescriptions du règlement du MDSi.)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AC126" s="364" t="str">
        <f t="shared" si="4"/>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AD126" s="673" t="str">
        <f>Kriterien!U42</f>
        <v xml:space="preserve">MDSi      </v>
      </c>
      <c r="AE126" s="622" t="str">
        <f>Kriterien!V42</f>
        <v xml:space="preserve">MDSi      </v>
      </c>
      <c r="AF126" s="623" t="str">
        <f t="shared" si="5"/>
        <v xml:space="preserve">MDSi      </v>
      </c>
    </row>
    <row r="127" spans="1:32" s="116" customFormat="1" ht="160" customHeight="1">
      <c r="A127" s="305">
        <f>'2 Autodeklaration'!A40</f>
        <v>0</v>
      </c>
      <c r="B127" s="306"/>
      <c r="C127" s="299"/>
      <c r="D127" s="433"/>
      <c r="E127" s="581" t="s">
        <v>180</v>
      </c>
      <c r="F127" s="120" t="str">
        <f t="shared" si="26"/>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G127" s="544" t="str">
        <f t="shared" si="30"/>
        <v>MDSi</v>
      </c>
      <c r="H127" s="566" t="str">
        <f>IF('2 Autodeklaration'!F40=0,"",'2 Autodeklaration'!F40)</f>
        <v/>
      </c>
      <c r="I127" s="567"/>
      <c r="J127" s="690"/>
      <c r="K127" s="724" t="str">
        <f t="shared" si="27"/>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L127" s="2247"/>
      <c r="M127" s="1284"/>
      <c r="N127" s="1279"/>
      <c r="O127" s="595"/>
      <c r="P127" s="599"/>
      <c r="AA127" s="360" t="str">
        <f>Kriterien!R43</f>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B127" s="361" t="str">
        <f>Kriterien!S43</f>
        <v>La part relative des horaires de soins en catégorie 1 est supérieure à 15 %.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AC127" s="364" t="str">
        <f t="shared" si="4"/>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D127" s="673" t="str">
        <f>Kriterien!U43</f>
        <v>MDSi</v>
      </c>
      <c r="AE127" s="622" t="str">
        <f>Kriterien!V43</f>
        <v>MDSi</v>
      </c>
      <c r="AF127" s="623" t="str">
        <f t="shared" si="5"/>
        <v>MDSi</v>
      </c>
    </row>
    <row r="128" spans="1:32" s="116" customFormat="1" ht="158" customHeight="1">
      <c r="A128" s="305">
        <f>'2 Autodeklaration'!A41</f>
        <v>0</v>
      </c>
      <c r="B128" s="306"/>
      <c r="C128" s="299"/>
      <c r="D128" s="433"/>
      <c r="E128" s="581" t="s">
        <v>181</v>
      </c>
      <c r="F128" s="120" t="str">
        <f t="shared" si="26"/>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G128" s="544" t="str">
        <f t="shared" si="30"/>
        <v>MDSi</v>
      </c>
      <c r="H128" s="566" t="str">
        <f>IF('2 Autodeklaration'!F41=0,"",'2 Autodeklaration'!F41)</f>
        <v/>
      </c>
      <c r="I128" s="567"/>
      <c r="J128" s="652"/>
      <c r="K128" s="724" t="str">
        <f t="shared" si="27"/>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L128" s="2247"/>
      <c r="M128" s="1284"/>
      <c r="N128" s="1279"/>
      <c r="O128" s="595"/>
      <c r="P128" s="599"/>
      <c r="AA128" s="360" t="str">
        <f>Kriterien!R44</f>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B128" s="361" t="str">
        <f>Kriterien!S44</f>
        <v>La part relative des horaires de soins en catégorie 3 est inférieure à 30 %.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AC128" s="364" t="str">
        <f t="shared" si="4"/>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D128" s="673" t="str">
        <f>Kriterien!U44</f>
        <v>MDSi</v>
      </c>
      <c r="AE128" s="622" t="str">
        <f>Kriterien!V44</f>
        <v>MDSi</v>
      </c>
      <c r="AF128" s="623" t="str">
        <f t="shared" si="5"/>
        <v>MDSi</v>
      </c>
    </row>
    <row r="129" spans="1:32" s="116" customFormat="1" ht="40" customHeight="1">
      <c r="A129" s="305">
        <f>'2 Autodeklaration'!A42</f>
        <v>0</v>
      </c>
      <c r="B129" s="306"/>
      <c r="C129" s="299"/>
      <c r="D129" s="433"/>
      <c r="E129" s="581" t="s">
        <v>182</v>
      </c>
      <c r="F129" s="120" t="str">
        <f t="shared" si="26"/>
        <v>Der Aufwachraum ist örtlich und organisatorisch von der IS getrennt</v>
      </c>
      <c r="G129" s="544" t="str">
        <f t="shared" si="30"/>
        <v>Visitation</v>
      </c>
      <c r="H129" s="566" t="str">
        <f>IF('2 Autodeklaration'!F42=0,"",'2 Autodeklaration'!F42)</f>
        <v/>
      </c>
      <c r="I129" s="567"/>
      <c r="J129" s="652"/>
      <c r="K129" s="724" t="str">
        <f t="shared" si="27"/>
        <v>Der Aufwachraum ist örtlich und organisatorisch von der IS getrennt</v>
      </c>
      <c r="L129" s="2247"/>
      <c r="M129" s="1284"/>
      <c r="N129" s="1279"/>
      <c r="O129" s="595"/>
      <c r="P129" s="599"/>
      <c r="AA129" s="360" t="str">
        <f>Kriterien!R45</f>
        <v>Der Aufwachraum ist örtlich und organisatorisch von der IS getrennt</v>
      </c>
      <c r="AB129" s="361" t="str">
        <f>Kriterien!S45</f>
        <v>La salle de réveil est séparée de l'USI d'un point de vue géographique et organisationnel.</v>
      </c>
      <c r="AC129" s="364" t="str">
        <f t="shared" si="4"/>
        <v>Der Aufwachraum ist örtlich und organisatorisch von der IS getrennt</v>
      </c>
      <c r="AD129" s="673" t="str">
        <f>Kriterien!U45</f>
        <v>Visitation</v>
      </c>
      <c r="AE129" s="622" t="str">
        <f>Kriterien!V45</f>
        <v>Visite</v>
      </c>
      <c r="AF129" s="623" t="str">
        <f t="shared" si="5"/>
        <v>Visitation</v>
      </c>
    </row>
    <row r="130" spans="1:32" s="116" customFormat="1" ht="40" customHeight="1">
      <c r="A130" s="305"/>
      <c r="B130" s="306">
        <f>'2 Autodeklaration'!B43</f>
        <v>0</v>
      </c>
      <c r="C130" s="2157"/>
      <c r="D130" s="300"/>
      <c r="E130" s="581" t="s">
        <v>183</v>
      </c>
      <c r="F130" s="120" t="str">
        <f t="shared" si="26"/>
        <v>Aufwachpatienten dürfen nur zu Randzeiten auf der IS behandelt werden.</v>
      </c>
      <c r="G130" s="544" t="str">
        <f t="shared" si="30"/>
        <v xml:space="preserve">Visitation </v>
      </c>
      <c r="H130" s="566" t="str">
        <f>IF('2 Autodeklaration'!F43=0,"",'2 Autodeklaration'!F43)</f>
        <v/>
      </c>
      <c r="I130" s="567"/>
      <c r="J130" s="652"/>
      <c r="K130" s="724" t="str">
        <f t="shared" si="27"/>
        <v>Aufwachpatienten dürfen nur zu Randzeiten auf der IS behandelt werden.</v>
      </c>
      <c r="L130" s="2247"/>
      <c r="M130" s="1284"/>
      <c r="N130" s="1279"/>
      <c r="O130" s="595"/>
      <c r="P130" s="599"/>
      <c r="AA130" s="360" t="str">
        <f>Kriterien!R46</f>
        <v>Aufwachpatienten dürfen nur zu Randzeiten auf der IS behandelt werden.</v>
      </c>
      <c r="AB130" s="361" t="str">
        <f>Kriterien!S46</f>
        <v>Les patients de type salle de réveil ne peuvent être pris en charge dans l'USI que durant les heures creuses.</v>
      </c>
      <c r="AC130" s="364" t="str">
        <f t="shared" si="4"/>
        <v>Aufwachpatienten dürfen nur zu Randzeiten auf der IS behandelt werden.</v>
      </c>
      <c r="AD130" s="673" t="str">
        <f>Kriterien!U46</f>
        <v xml:space="preserve">Visitation </v>
      </c>
      <c r="AE130" s="622" t="str">
        <f>Kriterien!V46</f>
        <v>Visite</v>
      </c>
      <c r="AF130" s="623" t="str">
        <f t="shared" si="5"/>
        <v xml:space="preserve">Visitation </v>
      </c>
    </row>
    <row r="131" spans="1:32" s="116" customFormat="1" ht="40" customHeight="1">
      <c r="A131" s="305">
        <f>'2 Autodeklaration'!A44</f>
        <v>0</v>
      </c>
      <c r="B131" s="306"/>
      <c r="C131" s="299"/>
      <c r="D131" s="433"/>
      <c r="E131" s="581" t="s">
        <v>184</v>
      </c>
      <c r="F131" s="120" t="str">
        <f t="shared" si="26"/>
        <v>Aufwachpatienten dürfen nicht im MDSi als Intensivpatienten erfasst werden.</v>
      </c>
      <c r="G131" s="544" t="str">
        <f t="shared" si="30"/>
        <v>Visitation</v>
      </c>
      <c r="H131" s="566" t="str">
        <f>IF('2 Autodeklaration'!F44=0,"",'2 Autodeklaration'!F44)</f>
        <v/>
      </c>
      <c r="I131" s="567"/>
      <c r="J131" s="652"/>
      <c r="K131" s="724" t="str">
        <f t="shared" si="27"/>
        <v>Aufwachpatienten dürfen nicht im MDSi als Intensivpatienten erfasst werden.</v>
      </c>
      <c r="L131" s="1258"/>
      <c r="M131" s="1284"/>
      <c r="N131" s="1279"/>
      <c r="O131" s="595"/>
      <c r="P131" s="599"/>
      <c r="AA131" s="360" t="str">
        <f>Kriterien!R47</f>
        <v>Aufwachpatienten dürfen nicht im MDSi als Intensivpatienten erfasst werden.</v>
      </c>
      <c r="AB131" s="361" t="str">
        <f>Kriterien!S47</f>
        <v>Les patients de type salle de réveil ne doivent pas être saisis dans les MDSi en tant que patients de soins intensifs.</v>
      </c>
      <c r="AC131" s="364" t="str">
        <f t="shared" si="4"/>
        <v>Aufwachpatienten dürfen nicht im MDSi als Intensivpatienten erfasst werden.</v>
      </c>
      <c r="AD131" s="673" t="str">
        <f>Kriterien!U47</f>
        <v>Visitation</v>
      </c>
      <c r="AE131" s="622" t="str">
        <f>Kriterien!V47</f>
        <v>Visite</v>
      </c>
      <c r="AF131" s="623" t="str">
        <f t="shared" si="5"/>
        <v>Visitation</v>
      </c>
    </row>
    <row r="132" spans="1:32" s="366" customFormat="1" ht="30" customHeight="1">
      <c r="A132" s="439"/>
      <c r="B132" s="440"/>
      <c r="C132" s="2159"/>
      <c r="D132" s="432"/>
      <c r="E132" s="39">
        <v>2</v>
      </c>
      <c r="F132" s="117" t="str">
        <f t="shared" si="26"/>
        <v>Räumliche/architektonische Anforderungen</v>
      </c>
      <c r="G132" s="542" t="str">
        <f t="shared" si="30"/>
        <v/>
      </c>
      <c r="H132" s="568" t="str">
        <f>IF('2 Autodeklaration'!F45=0,"",'2 Autodeklaration'!F45)</f>
        <v/>
      </c>
      <c r="I132" s="565"/>
      <c r="J132" s="691"/>
      <c r="K132" s="722" t="str">
        <f t="shared" si="27"/>
        <v>Räumliche/architektonische Anforderungen</v>
      </c>
      <c r="L132" s="1259"/>
      <c r="M132" s="1284"/>
      <c r="N132" s="1279"/>
      <c r="O132" s="595"/>
      <c r="P132" s="599"/>
      <c r="AA132" s="360" t="str">
        <f>Kriterien!R48</f>
        <v>Räumliche/architektonische Anforderungen</v>
      </c>
      <c r="AB132" s="361" t="str">
        <f>Kriterien!S48</f>
        <v>Exigences relatives aux locaux/à l'architecture</v>
      </c>
      <c r="AC132" s="364" t="str">
        <f t="shared" si="4"/>
        <v>Räumliche/architektonische Anforderungen</v>
      </c>
      <c r="AD132" s="673">
        <f>Kriterien!U48</f>
        <v>0</v>
      </c>
      <c r="AE132" s="622">
        <f>Kriterien!V48</f>
        <v>0</v>
      </c>
      <c r="AF132" s="623" t="str">
        <f t="shared" si="5"/>
        <v/>
      </c>
    </row>
    <row r="133" spans="1:32" s="359" customFormat="1" ht="30" customHeight="1">
      <c r="A133" s="305"/>
      <c r="B133" s="306"/>
      <c r="C133" s="2157"/>
      <c r="D133" s="433"/>
      <c r="E133" s="579">
        <v>2.1</v>
      </c>
      <c r="F133" s="118" t="str">
        <f t="shared" si="26"/>
        <v>Lokalisation im Spital und Lärm</v>
      </c>
      <c r="G133" s="543" t="str">
        <f t="shared" si="30"/>
        <v/>
      </c>
      <c r="H133" s="566" t="str">
        <f>IF('2 Autodeklaration'!F46=0,"",'2 Autodeklaration'!F46)</f>
        <v/>
      </c>
      <c r="I133" s="567"/>
      <c r="J133" s="688"/>
      <c r="K133" s="723" t="str">
        <f t="shared" si="27"/>
        <v>Lokalisation im Spital und Lärm</v>
      </c>
      <c r="L133" s="1256"/>
      <c r="M133" s="1284"/>
      <c r="N133" s="1279"/>
      <c r="O133" s="595"/>
      <c r="P133" s="599"/>
      <c r="AA133" s="360" t="str">
        <f>Kriterien!R49</f>
        <v>Lokalisation im Spital und Lärm</v>
      </c>
      <c r="AB133" s="361" t="str">
        <f>Kriterien!S49</f>
        <v>Emplacement dans l'hôpital et nuisances sonores</v>
      </c>
      <c r="AC133" s="364" t="str">
        <f t="shared" si="4"/>
        <v>Lokalisation im Spital und Lärm</v>
      </c>
      <c r="AD133" s="673">
        <f>Kriterien!U49</f>
        <v>0</v>
      </c>
      <c r="AE133" s="622">
        <f>Kriterien!V49</f>
        <v>0</v>
      </c>
      <c r="AF133" s="623" t="str">
        <f t="shared" si="5"/>
        <v/>
      </c>
    </row>
    <row r="134" spans="1:32" s="116" customFormat="1" ht="60" customHeight="1">
      <c r="A134" s="305">
        <f>'2 Autodeklaration'!A47</f>
        <v>0</v>
      </c>
      <c r="B134" s="306"/>
      <c r="C134" s="299"/>
      <c r="D134" s="433"/>
      <c r="E134" s="581" t="s">
        <v>185</v>
      </c>
      <c r="F134" s="120" t="str">
        <f t="shared" si="26"/>
        <v xml:space="preserve">Die IS umfasst ein genau definiertes und von anderen Stationen (Notfallstation, Aufwachraum, Intermediate-Care-Station [nicht abschliessende Aufzählung]) getrenntes Areal. </v>
      </c>
      <c r="G134" s="544" t="str">
        <f t="shared" si="30"/>
        <v>Pläne, Visitation</v>
      </c>
      <c r="H134" s="566" t="str">
        <f>IF('2 Autodeklaration'!F47=0,"",'2 Autodeklaration'!F47)</f>
        <v/>
      </c>
      <c r="I134" s="567"/>
      <c r="J134" s="688"/>
      <c r="K134" s="724" t="str">
        <f t="shared" si="27"/>
        <v xml:space="preserve">Die IS umfasst ein genau definiertes und von anderen Stationen (Notfallstation, Aufwachraum, Intermediate-Care-Station [nicht abschliessende Aufzählung]) getrenntes Areal. </v>
      </c>
      <c r="L134" s="1256"/>
      <c r="M134" s="1284"/>
      <c r="N134" s="1279"/>
      <c r="O134" s="595"/>
      <c r="P134" s="599"/>
      <c r="AA134" s="360" t="str">
        <f>Kriterien!R50</f>
        <v xml:space="preserve">Die IS umfasst ein genau definiertes und von anderen Stationen (Notfallstation, Aufwachraum, Intermediate-Care-Station [nicht abschliessende Aufzählung]) getrenntes Areal. </v>
      </c>
      <c r="AB134" s="361" t="str">
        <f>Kriterien!S50</f>
        <v xml:space="preserve">L'USI occupe un territoire bien défini et séparé des autres unités de soins (service des urgences, salle de réveil, service de soins intermédiaires [liste non exhaustive]). </v>
      </c>
      <c r="AC134" s="364" t="str">
        <f t="shared" si="4"/>
        <v xml:space="preserve">Die IS umfasst ein genau definiertes und von anderen Stationen (Notfallstation, Aufwachraum, Intermediate-Care-Station [nicht abschliessende Aufzählung]) getrenntes Areal. </v>
      </c>
      <c r="AD134" s="673" t="str">
        <f>Kriterien!U50</f>
        <v>Pläne, Visitation</v>
      </c>
      <c r="AE134" s="622" t="str">
        <f>Kriterien!V50</f>
        <v>Plans, visite</v>
      </c>
      <c r="AF134" s="623" t="str">
        <f t="shared" si="5"/>
        <v>Pläne, Visitation</v>
      </c>
    </row>
    <row r="135" spans="1:32" s="116" customFormat="1" ht="127" customHeight="1">
      <c r="A135" s="305"/>
      <c r="B135" s="306">
        <f>'2 Autodeklaration'!B48</f>
        <v>0</v>
      </c>
      <c r="C135" s="2157"/>
      <c r="D135" s="300"/>
      <c r="E135" s="581" t="s">
        <v>186</v>
      </c>
      <c r="F135" s="120" t="str">
        <f t="shared" si="26"/>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G135" s="544" t="str">
        <f t="shared" si="30"/>
        <v>Pläne, Visitation</v>
      </c>
      <c r="H135" s="566" t="str">
        <f>IF('2 Autodeklaration'!F48=0,"",'2 Autodeklaration'!F48)</f>
        <v/>
      </c>
      <c r="I135" s="567"/>
      <c r="J135" s="688"/>
      <c r="K135" s="724" t="str">
        <f t="shared" si="27"/>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L135" s="1256"/>
      <c r="M135" s="1284"/>
      <c r="N135" s="1279"/>
      <c r="O135" s="595"/>
      <c r="P135" s="599"/>
      <c r="AA135" s="360" t="str">
        <f>Kriterien!R51</f>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AB135" s="361" t="str">
        <f>Kriterien!S51</f>
        <v>En raison de sa mission, le service des soins intensifs se situe à un endroit stratégiquement optimal de l'hôpital, par exemple à proximité des salles d'opération, du service des urgences, des soins intermédiaires, des autres USI, d’un ascenseur pour lits, du service de radiologie ou d'autres services dans lesquels sont pratiqués des examens ou traitements nécessaires aux patients des soins intensifs (p.ex. coronarographie, endoscopie).</v>
      </c>
      <c r="AC135" s="364" t="str">
        <f t="shared" si="4"/>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AD135" s="673" t="str">
        <f>Kriterien!U51</f>
        <v>Pläne, Visitation</v>
      </c>
      <c r="AE135" s="622" t="str">
        <f>Kriterien!V51</f>
        <v>Plans, visite</v>
      </c>
      <c r="AF135" s="623" t="str">
        <f t="shared" si="5"/>
        <v>Pläne, Visitation</v>
      </c>
    </row>
    <row r="136" spans="1:32" s="116" customFormat="1" ht="45">
      <c r="A136" s="305">
        <f>'2 Autodeklaration'!A49</f>
        <v>0</v>
      </c>
      <c r="B136" s="306"/>
      <c r="C136" s="299"/>
      <c r="D136" s="433"/>
      <c r="E136" s="581" t="s">
        <v>187</v>
      </c>
      <c r="F136" s="120" t="str">
        <f t="shared" si="26"/>
        <v xml:space="preserve">Durch die IS findet kein Durchgangsverkehr von Patienten, Personal oder Material statt. </v>
      </c>
      <c r="G136" s="544" t="str">
        <f t="shared" si="30"/>
        <v>Pläne, Visitation</v>
      </c>
      <c r="H136" s="566" t="str">
        <f>IF('2 Autodeklaration'!F49=0,"",'2 Autodeklaration'!F49)</f>
        <v/>
      </c>
      <c r="I136" s="567"/>
      <c r="J136" s="688"/>
      <c r="K136" s="724" t="str">
        <f t="shared" si="27"/>
        <v xml:space="preserve">Durch die IS findet kein Durchgangsverkehr von Patienten, Personal oder Material statt. </v>
      </c>
      <c r="L136" s="1256"/>
      <c r="M136" s="1284"/>
      <c r="N136" s="1279"/>
      <c r="O136" s="595"/>
      <c r="P136" s="599"/>
      <c r="AA136" s="360" t="str">
        <f>Kriterien!R52</f>
        <v xml:space="preserve">Durch die IS findet kein Durchgangsverkehr von Patienten, Personal oder Material statt. </v>
      </c>
      <c r="AB136" s="361" t="str">
        <f>Kriterien!S52</f>
        <v xml:space="preserve">L'USI ne servira pas de lieu de transit pour les patients, le personnel ou le matériel. </v>
      </c>
      <c r="AC136" s="364" t="str">
        <f t="shared" si="4"/>
        <v xml:space="preserve">Durch die IS findet kein Durchgangsverkehr von Patienten, Personal oder Material statt. </v>
      </c>
      <c r="AD136" s="673" t="str">
        <f>Kriterien!U52</f>
        <v>Pläne, Visitation</v>
      </c>
      <c r="AE136" s="622" t="str">
        <f>Kriterien!V52</f>
        <v>Plans, visite</v>
      </c>
      <c r="AF136" s="623" t="str">
        <f t="shared" si="5"/>
        <v>Pläne, Visitation</v>
      </c>
    </row>
    <row r="137" spans="1:32" s="116" customFormat="1" ht="114.75" customHeight="1">
      <c r="A137" s="305"/>
      <c r="B137" s="306">
        <f>'2 Autodeklaration'!B50</f>
        <v>0</v>
      </c>
      <c r="C137" s="2157"/>
      <c r="D137" s="300"/>
      <c r="E137" s="584" t="s">
        <v>297</v>
      </c>
      <c r="F137" s="367" t="str">
        <f t="shared" si="26"/>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G137" s="546" t="str">
        <f t="shared" si="30"/>
        <v>Baudokumentation, Gerätedokumentation, Visitation</v>
      </c>
      <c r="H137" s="566" t="str">
        <f>IF('2 Autodeklaration'!F50=0,"",'2 Autodeklaration'!F50)</f>
        <v/>
      </c>
      <c r="I137" s="567"/>
      <c r="J137" s="688"/>
      <c r="K137" s="729" t="str">
        <f t="shared" si="27"/>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L137" s="1256"/>
      <c r="M137" s="1284"/>
      <c r="N137" s="1279"/>
      <c r="O137" s="595"/>
      <c r="P137" s="599"/>
      <c r="AA137" s="360" t="str">
        <f>Kriterien!R53</f>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AB137" s="361" t="str">
        <f>Kriterien!S53</f>
        <v>Une attention particulière sera apportée à la réduction du bruit. On veillera à réduire les nuisances sonores environnantes, à isoler les chambres d'un point de vue acoustique à l'aide de matériaux appropriés, à disposer d'alarmes optiques et acoustiques adéquates sur les appareils et le téléphone et à disposer d'un niveau sonore approprié sur des machines telles que les respirateurs.</v>
      </c>
      <c r="AC137" s="364" t="str">
        <f t="shared" si="4"/>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AD137" s="673" t="str">
        <f>Kriterien!U53</f>
        <v>Baudokumentation, Gerätedokumentation, Visitation</v>
      </c>
      <c r="AE137" s="622" t="str">
        <f>Kriterien!V53</f>
        <v>Documentation relative au bâtiment, aux appareils, visite</v>
      </c>
      <c r="AF137" s="623" t="str">
        <f t="shared" si="5"/>
        <v>Baudokumentation, Gerätedokumentation, Visitation</v>
      </c>
    </row>
    <row r="138" spans="1:32" s="116" customFormat="1" ht="30" customHeight="1">
      <c r="A138" s="305"/>
      <c r="B138" s="306"/>
      <c r="C138" s="2157"/>
      <c r="D138" s="433"/>
      <c r="E138" s="579">
        <v>2.2000000000000002</v>
      </c>
      <c r="F138" s="118" t="str">
        <f t="shared" si="26"/>
        <v>Zugang und Besuch</v>
      </c>
      <c r="G138" s="548" t="str">
        <f t="shared" si="30"/>
        <v/>
      </c>
      <c r="H138" s="566" t="str">
        <f>IF('2 Autodeklaration'!F51=0,"",'2 Autodeklaration'!F51)</f>
        <v/>
      </c>
      <c r="I138" s="567"/>
      <c r="J138" s="688"/>
      <c r="K138" s="723" t="str">
        <f t="shared" si="27"/>
        <v>Zugang und Besuch</v>
      </c>
      <c r="L138" s="1256"/>
      <c r="M138" s="1284"/>
      <c r="N138" s="1279"/>
      <c r="O138" s="595"/>
      <c r="P138" s="599"/>
      <c r="AA138" s="360" t="str">
        <f>Kriterien!R54</f>
        <v>Zugang und Besuch</v>
      </c>
      <c r="AB138" s="361" t="str">
        <f>Kriterien!S54</f>
        <v>Accès et visite</v>
      </c>
      <c r="AC138" s="364" t="str">
        <f t="shared" si="4"/>
        <v>Zugang und Besuch</v>
      </c>
      <c r="AD138" s="673">
        <f>Kriterien!U54</f>
        <v>0</v>
      </c>
      <c r="AE138" s="622">
        <f>Kriterien!V54</f>
        <v>0</v>
      </c>
      <c r="AF138" s="623" t="str">
        <f t="shared" si="5"/>
        <v/>
      </c>
    </row>
    <row r="139" spans="1:32" s="116" customFormat="1" ht="40" customHeight="1">
      <c r="A139" s="305"/>
      <c r="B139" s="306">
        <f>'2 Autodeklaration'!B52</f>
        <v>0</v>
      </c>
      <c r="C139" s="2157"/>
      <c r="D139" s="300"/>
      <c r="E139" s="581" t="s">
        <v>188</v>
      </c>
      <c r="F139" s="121" t="str">
        <f t="shared" si="26"/>
        <v>Getrennte Zugänge für Betten, Stationspersonal einerseits und Besucher</v>
      </c>
      <c r="G139" s="544" t="str">
        <f t="shared" si="30"/>
        <v>Pläne, Visitation</v>
      </c>
      <c r="H139" s="566" t="str">
        <f>IF('2 Autodeklaration'!F52=0,"",'2 Autodeklaration'!F52)</f>
        <v/>
      </c>
      <c r="I139" s="567"/>
      <c r="J139" s="688"/>
      <c r="K139" s="726" t="str">
        <f t="shared" si="27"/>
        <v>Getrennte Zugänge für Betten, Stationspersonal einerseits und Besucher</v>
      </c>
      <c r="L139" s="1256"/>
      <c r="M139" s="1284"/>
      <c r="N139" s="1279"/>
      <c r="O139" s="595"/>
      <c r="P139" s="599"/>
      <c r="AA139" s="360" t="str">
        <f>Kriterien!R55</f>
        <v>Getrennte Zugänge für Betten, Stationspersonal einerseits und Besucher</v>
      </c>
      <c r="AB139" s="361" t="str">
        <f>Kriterien!S55</f>
        <v>Il est souhaitable que les accès prévus pour les lits et le personnel de l'Unité soient distincts de l'accès réservé aux visiteurs.</v>
      </c>
      <c r="AC139" s="364" t="str">
        <f t="shared" si="4"/>
        <v>Getrennte Zugänge für Betten, Stationspersonal einerseits und Besucher</v>
      </c>
      <c r="AD139" s="673" t="str">
        <f>Kriterien!U55</f>
        <v>Pläne, Visitation</v>
      </c>
      <c r="AE139" s="622" t="str">
        <f>Kriterien!V55</f>
        <v>Plans, visite</v>
      </c>
      <c r="AF139" s="623" t="str">
        <f t="shared" si="5"/>
        <v>Pläne, Visitation</v>
      </c>
    </row>
    <row r="140" spans="1:32" s="116" customFormat="1" ht="40" customHeight="1">
      <c r="A140" s="305"/>
      <c r="B140" s="306">
        <f>'2 Autodeklaration'!B53</f>
        <v>0</v>
      </c>
      <c r="C140" s="2157"/>
      <c r="D140" s="300"/>
      <c r="E140" s="581" t="s">
        <v>189</v>
      </c>
      <c r="F140" s="122" t="str">
        <f t="shared" si="26"/>
        <v>Ein Besuchsreglement ist vorhanden. Es erklärt und regelt Zeiten und Besuchs-limitationen.</v>
      </c>
      <c r="G140" s="545" t="str">
        <f t="shared" si="30"/>
        <v>Dokument</v>
      </c>
      <c r="H140" s="566" t="str">
        <f>IF('2 Autodeklaration'!F53=0,"",'2 Autodeklaration'!F53)</f>
        <v/>
      </c>
      <c r="I140" s="567"/>
      <c r="J140" s="688"/>
      <c r="K140" s="725" t="str">
        <f t="shared" si="27"/>
        <v>Ein Besuchsreglement ist vorhanden. Es erklärt und regelt Zeiten und Besuchs-limitationen.</v>
      </c>
      <c r="L140" s="1256"/>
      <c r="M140" s="1284"/>
      <c r="N140" s="1279"/>
      <c r="O140" s="595"/>
      <c r="P140" s="599"/>
      <c r="AA140" s="360" t="str">
        <f>Kriterien!R56</f>
        <v>Ein Besuchsreglement ist vorhanden. Es erklärt und regelt Zeiten und Besuchs-limitationen.</v>
      </c>
      <c r="AB140" s="361" t="str">
        <f>Kriterien!S56</f>
        <v>Les horaires de visites sont règlementés. Ce règlement expose et définit les horaires et restrictions de visites.</v>
      </c>
      <c r="AC140" s="364" t="str">
        <f t="shared" si="4"/>
        <v>Ein Besuchsreglement ist vorhanden. Es erklärt und regelt Zeiten und Besuchs-limitationen.</v>
      </c>
      <c r="AD140" s="673" t="str">
        <f>Kriterien!U56</f>
        <v>Dokument</v>
      </c>
      <c r="AE140" s="622" t="str">
        <f>Kriterien!V56</f>
        <v>Document</v>
      </c>
      <c r="AF140" s="623" t="str">
        <f t="shared" si="5"/>
        <v>Dokument</v>
      </c>
    </row>
    <row r="141" spans="1:32" s="116" customFormat="1" ht="30" customHeight="1">
      <c r="A141" s="305">
        <f>'2 Autodeklaration'!A54</f>
        <v>0</v>
      </c>
      <c r="B141" s="306"/>
      <c r="C141" s="299"/>
      <c r="D141" s="433"/>
      <c r="E141" s="581" t="s">
        <v>190</v>
      </c>
      <c r="F141" s="123" t="str">
        <f t="shared" si="26"/>
        <v>Es gibt eine Anmeldevorrichtung für Besucher.</v>
      </c>
      <c r="G141" s="545" t="str">
        <f t="shared" si="30"/>
        <v>Visitation</v>
      </c>
      <c r="H141" s="566" t="str">
        <f>IF('2 Autodeklaration'!F54=0,"",'2 Autodeklaration'!F54)</f>
        <v/>
      </c>
      <c r="I141" s="567"/>
      <c r="J141" s="688"/>
      <c r="K141" s="730" t="str">
        <f t="shared" si="27"/>
        <v>Es gibt eine Anmeldevorrichtung für Besucher.</v>
      </c>
      <c r="L141" s="1256"/>
      <c r="M141" s="1284"/>
      <c r="N141" s="1279"/>
      <c r="O141" s="595"/>
      <c r="P141" s="599"/>
      <c r="AA141" s="360" t="str">
        <f>Kriterien!R57</f>
        <v>Es gibt eine Anmeldevorrichtung für Besucher.</v>
      </c>
      <c r="AB141" s="361" t="str">
        <f>Kriterien!S57</f>
        <v>Il existe un dispositif permettant aux visiteurs de s'annoncer.</v>
      </c>
      <c r="AC141" s="364" t="str">
        <f t="shared" si="4"/>
        <v>Es gibt eine Anmeldevorrichtung für Besucher.</v>
      </c>
      <c r="AD141" s="673" t="str">
        <f>Kriterien!U57</f>
        <v>Visitation</v>
      </c>
      <c r="AE141" s="622" t="str">
        <f>Kriterien!V57</f>
        <v>Visite</v>
      </c>
      <c r="AF141" s="623" t="str">
        <f t="shared" si="5"/>
        <v>Visitation</v>
      </c>
    </row>
    <row r="142" spans="1:32" s="116" customFormat="1" ht="30" customHeight="1">
      <c r="A142" s="305"/>
      <c r="B142" s="306"/>
      <c r="C142" s="2157"/>
      <c r="D142" s="433"/>
      <c r="E142" s="579">
        <v>2.2999999999999998</v>
      </c>
      <c r="F142" s="118" t="str">
        <f t="shared" si="26"/>
        <v>Flächen und Distanzen</v>
      </c>
      <c r="G142" s="548" t="str">
        <f t="shared" si="30"/>
        <v/>
      </c>
      <c r="H142" s="566" t="str">
        <f>IF('2 Autodeklaration'!F55=0,"",'2 Autodeklaration'!F55)</f>
        <v/>
      </c>
      <c r="I142" s="567"/>
      <c r="J142" s="688"/>
      <c r="K142" s="723" t="str">
        <f t="shared" si="27"/>
        <v>Flächen und Distanzen</v>
      </c>
      <c r="L142" s="1256"/>
      <c r="M142" s="1284"/>
      <c r="N142" s="1279"/>
      <c r="O142" s="595"/>
      <c r="P142" s="599"/>
      <c r="AA142" s="360" t="str">
        <f>Kriterien!R58</f>
        <v>Flächen und Distanzen</v>
      </c>
      <c r="AB142" s="361" t="str">
        <f>Kriterien!S58</f>
        <v>Surfaces et distances</v>
      </c>
      <c r="AC142" s="364" t="str">
        <f t="shared" si="4"/>
        <v>Flächen und Distanzen</v>
      </c>
      <c r="AD142" s="673">
        <f>Kriterien!U58</f>
        <v>0</v>
      </c>
      <c r="AE142" s="622">
        <f>Kriterien!V58</f>
        <v>0</v>
      </c>
      <c r="AF142" s="623" t="str">
        <f t="shared" si="5"/>
        <v/>
      </c>
    </row>
    <row r="143" spans="1:32" s="116" customFormat="1" ht="30" customHeight="1">
      <c r="A143" s="305"/>
      <c r="B143" s="306"/>
      <c r="C143" s="2157"/>
      <c r="D143" s="433"/>
      <c r="E143" s="581" t="s">
        <v>32</v>
      </c>
      <c r="F143" s="125" t="str">
        <f t="shared" si="26"/>
        <v>Fläche pro Bett</v>
      </c>
      <c r="G143" s="548" t="str">
        <f t="shared" si="30"/>
        <v/>
      </c>
      <c r="H143" s="566" t="str">
        <f>IF('2 Autodeklaration'!F56=0,"",'2 Autodeklaration'!F56)</f>
        <v/>
      </c>
      <c r="I143" s="567"/>
      <c r="J143" s="688"/>
      <c r="K143" s="731" t="str">
        <f t="shared" si="27"/>
        <v>Fläche pro Bett</v>
      </c>
      <c r="L143" s="1256"/>
      <c r="M143" s="1284"/>
      <c r="N143" s="1279"/>
      <c r="O143" s="595"/>
      <c r="P143" s="599"/>
      <c r="AA143" s="360" t="str">
        <f>Kriterien!R59</f>
        <v>Fläche pro Bett</v>
      </c>
      <c r="AB143" s="361" t="str">
        <f>Kriterien!S59</f>
        <v>Surface par lit</v>
      </c>
      <c r="AC143" s="364" t="str">
        <f t="shared" si="4"/>
        <v>Fläche pro Bett</v>
      </c>
      <c r="AD143" s="673">
        <f>Kriterien!U59</f>
        <v>0</v>
      </c>
      <c r="AE143" s="622">
        <f>Kriterien!V59</f>
        <v>0</v>
      </c>
      <c r="AF143" s="623" t="str">
        <f t="shared" si="5"/>
        <v/>
      </c>
    </row>
    <row r="144" spans="1:32" s="116" customFormat="1" ht="40" customHeight="1">
      <c r="A144" s="305">
        <f>'2 Autodeklaration'!A57</f>
        <v>0</v>
      </c>
      <c r="B144" s="306"/>
      <c r="C144" s="299"/>
      <c r="D144" s="433"/>
      <c r="E144" s="581" t="s">
        <v>191</v>
      </c>
      <c r="F144" s="122" t="str">
        <f t="shared" si="26"/>
        <v>Die Hauptnutzfläche (SIA 416) pro Bett beträgt mindestens 16 m2. Diese Fläche umfasst das Bett und seine unmittelbare Umgebung im Patientenzimmer.</v>
      </c>
      <c r="G144" s="545" t="str">
        <f t="shared" si="30"/>
        <v>Pläne, Visitation</v>
      </c>
      <c r="H144" s="566" t="str">
        <f>IF('2 Autodeklaration'!F57=0,"",'2 Autodeklaration'!F57)</f>
        <v/>
      </c>
      <c r="I144" s="567"/>
      <c r="J144" s="688"/>
      <c r="K144" s="725" t="str">
        <f t="shared" si="27"/>
        <v>Die Hauptnutzfläche (SIA 416) pro Bett beträgt mindestens 16 m2. Diese Fläche umfasst das Bett und seine unmittelbare Umgebung im Patientenzimmer.</v>
      </c>
      <c r="L144" s="1256"/>
      <c r="M144" s="1284"/>
      <c r="N144" s="1279"/>
      <c r="O144" s="595"/>
      <c r="P144" s="599"/>
      <c r="AA144" s="360" t="str">
        <f>Kriterien!R60</f>
        <v>Die Hauptnutzfläche (SIA 416) pro Bett beträgt mindestens 16 m2. Diese Fläche umfasst das Bett und seine unmittelbare Umgebung im Patientenzimmer.</v>
      </c>
      <c r="AB144" s="361" t="str">
        <f>Kriterien!S60</f>
        <v>La surface utile principale (SIA 416) dévolue à chaque lit est d'au moins 16 m2. Cette surface englobe le lit et son environnement direct dans la chambre de patient.</v>
      </c>
      <c r="AC144" s="364" t="str">
        <f t="shared" si="4"/>
        <v>Die Hauptnutzfläche (SIA 416) pro Bett beträgt mindestens 16 m2. Diese Fläche umfasst das Bett und seine unmittelbare Umgebung im Patientenzimmer.</v>
      </c>
      <c r="AD144" s="673" t="str">
        <f>Kriterien!U60</f>
        <v>Pläne, Visitation</v>
      </c>
      <c r="AE144" s="622" t="str">
        <f>Kriterien!V60</f>
        <v>Plans, visite</v>
      </c>
      <c r="AF144" s="623" t="str">
        <f t="shared" si="5"/>
        <v>Pläne, Visitation</v>
      </c>
    </row>
    <row r="145" spans="1:32" s="116" customFormat="1" ht="30" customHeight="1">
      <c r="A145" s="305">
        <f>'2 Autodeklaration'!A58</f>
        <v>0</v>
      </c>
      <c r="B145" s="306"/>
      <c r="C145" s="299"/>
      <c r="D145" s="433"/>
      <c r="E145" s="581" t="s">
        <v>192</v>
      </c>
      <c r="F145" s="120" t="str">
        <f t="shared" si="26"/>
        <v>Die Distanz zwischen den Betten beträgt minimal 2 Meter.</v>
      </c>
      <c r="G145" s="545" t="str">
        <f t="shared" si="30"/>
        <v>Pläne, Visitation</v>
      </c>
      <c r="H145" s="566" t="str">
        <f>IF('2 Autodeklaration'!F58=0,"",'2 Autodeklaration'!F58)</f>
        <v/>
      </c>
      <c r="I145" s="567"/>
      <c r="J145" s="688"/>
      <c r="K145" s="724" t="str">
        <f t="shared" si="27"/>
        <v>Die Distanz zwischen den Betten beträgt minimal 2 Meter.</v>
      </c>
      <c r="L145" s="1256"/>
      <c r="M145" s="1284"/>
      <c r="N145" s="1279"/>
      <c r="O145" s="595"/>
      <c r="P145" s="599"/>
      <c r="AA145" s="360" t="str">
        <f>Kriterien!R61</f>
        <v>Die Distanz zwischen den Betten beträgt minimal 2 Meter.</v>
      </c>
      <c r="AB145" s="361" t="str">
        <f>Kriterien!S61</f>
        <v xml:space="preserve">La distance entre les lits est d'au moins 2 mètres. </v>
      </c>
      <c r="AC145" s="364" t="str">
        <f t="shared" si="4"/>
        <v>Die Distanz zwischen den Betten beträgt minimal 2 Meter.</v>
      </c>
      <c r="AD145" s="673" t="str">
        <f>Kriterien!U61</f>
        <v>Pläne, Visitation</v>
      </c>
      <c r="AE145" s="622" t="str">
        <f>Kriterien!V61</f>
        <v>Plans, visite</v>
      </c>
      <c r="AF145" s="623" t="str">
        <f t="shared" si="5"/>
        <v>Pläne, Visitation</v>
      </c>
    </row>
    <row r="146" spans="1:32" s="116" customFormat="1" ht="40" customHeight="1">
      <c r="A146" s="305">
        <f>'2 Autodeklaration'!A59</f>
        <v>0</v>
      </c>
      <c r="B146" s="306"/>
      <c r="C146" s="299"/>
      <c r="D146" s="433"/>
      <c r="E146" s="581" t="s">
        <v>193</v>
      </c>
      <c r="F146" s="122" t="str">
        <f t="shared" si="26"/>
        <v>Die Wandlänge am Kopfende bei jedem Bett beträgt minimal 3 Meter.</v>
      </c>
      <c r="G146" s="545" t="str">
        <f t="shared" si="30"/>
        <v>Pläne, Visitation</v>
      </c>
      <c r="H146" s="566" t="str">
        <f>IF('2 Autodeklaration'!F59=0,"",'2 Autodeklaration'!F59)</f>
        <v/>
      </c>
      <c r="I146" s="567"/>
      <c r="J146" s="688"/>
      <c r="K146" s="725" t="str">
        <f t="shared" si="27"/>
        <v>Die Wandlänge am Kopfende bei jedem Bett beträgt minimal 3 Meter.</v>
      </c>
      <c r="L146" s="1256"/>
      <c r="M146" s="1284"/>
      <c r="N146" s="1279"/>
      <c r="O146" s="595"/>
      <c r="P146" s="599"/>
      <c r="AA146" s="360" t="str">
        <f>Kriterien!R62</f>
        <v>Die Wandlänge am Kopfende bei jedem Bett beträgt minimal 3 Meter.</v>
      </c>
      <c r="AB146" s="361" t="str">
        <f>Kriterien!S62</f>
        <v>Chaque lit dispose d'une longueur de paroi au niveau de la tête d'au moins 3 mètres.</v>
      </c>
      <c r="AC146" s="364" t="str">
        <f t="shared" si="4"/>
        <v>Die Wandlänge am Kopfende bei jedem Bett beträgt minimal 3 Meter.</v>
      </c>
      <c r="AD146" s="673" t="str">
        <f>Kriterien!U62</f>
        <v>Pläne, Visitation</v>
      </c>
      <c r="AE146" s="622" t="str">
        <f>Kriterien!V62</f>
        <v>Plans, visite</v>
      </c>
      <c r="AF146" s="623" t="str">
        <f t="shared" si="5"/>
        <v>Pläne, Visitation</v>
      </c>
    </row>
    <row r="147" spans="1:32" s="116" customFormat="1" ht="30" customHeight="1">
      <c r="A147" s="305"/>
      <c r="B147" s="306"/>
      <c r="C147" s="2157"/>
      <c r="D147" s="433"/>
      <c r="E147" s="581" t="s">
        <v>33</v>
      </c>
      <c r="F147" s="125" t="str">
        <f t="shared" si="26"/>
        <v>Gesamtnutzfläche der IS</v>
      </c>
      <c r="G147" s="547" t="str">
        <f t="shared" si="30"/>
        <v/>
      </c>
      <c r="H147" s="566" t="str">
        <f>IF('2 Autodeklaration'!F60=0,"",'2 Autodeklaration'!F60)</f>
        <v/>
      </c>
      <c r="I147" s="567"/>
      <c r="J147" s="688"/>
      <c r="K147" s="731" t="str">
        <f t="shared" si="27"/>
        <v>Gesamtnutzfläche der IS</v>
      </c>
      <c r="L147" s="1256"/>
      <c r="M147" s="1284"/>
      <c r="N147" s="1279"/>
      <c r="O147" s="595"/>
      <c r="P147" s="599"/>
      <c r="AA147" s="360" t="str">
        <f>Kriterien!R63</f>
        <v>Gesamtnutzfläche der IS</v>
      </c>
      <c r="AB147" s="361" t="str">
        <f>Kriterien!S63</f>
        <v>Surface utile totale de l'USI</v>
      </c>
      <c r="AC147" s="364" t="str">
        <f t="shared" ref="AC147:AC211" si="31">IF(AA147=0,"",IF($A$1="D",AA147,AB147))</f>
        <v>Gesamtnutzfläche der IS</v>
      </c>
      <c r="AD147" s="673">
        <f>Kriterien!U63</f>
        <v>0</v>
      </c>
      <c r="AE147" s="622">
        <f>Kriterien!V63</f>
        <v>0</v>
      </c>
      <c r="AF147" s="623" t="str">
        <f t="shared" ref="AF147:AF211" si="32">IF(AD147=0,"",IF($A$1="D",AD147,AE147))</f>
        <v/>
      </c>
    </row>
    <row r="148" spans="1:32" s="116" customFormat="1" ht="57" customHeight="1">
      <c r="A148" s="1901">
        <f>'2 Autodeklaration'!A61</f>
        <v>0</v>
      </c>
      <c r="B148" s="1902"/>
      <c r="C148" s="1903"/>
      <c r="D148" s="1885"/>
      <c r="E148" s="587" t="s">
        <v>194</v>
      </c>
      <c r="F148" s="1904" t="str">
        <f t="shared" si="26"/>
        <v>Die Gesamtnutzfläche, bestehend aus Haupt- und Nebennutzflächen (SIA 416),  beträgt mindestens 40 m2 pro zertifiziertem Bett.</v>
      </c>
      <c r="G148" s="1905" t="str">
        <f t="shared" si="30"/>
        <v>Pläne, Dokumentation</v>
      </c>
      <c r="H148" s="1906" t="str">
        <f>IF('2 Autodeklaration'!F61=0,"",'2 Autodeklaration'!F61)</f>
        <v/>
      </c>
      <c r="I148" s="1907"/>
      <c r="J148" s="689"/>
      <c r="K148" s="1908" t="str">
        <f t="shared" si="27"/>
        <v>Die Gesamtnutzfläche, bestehend aus Haupt- und Nebennutzflächen (SIA 416),  beträgt mindestens 40 m2 pro zertifiziertem Bett.</v>
      </c>
      <c r="L148" s="1256"/>
      <c r="M148" s="1284"/>
      <c r="N148" s="1279"/>
      <c r="O148" s="595"/>
      <c r="P148" s="599"/>
      <c r="AA148" s="360" t="str">
        <f>Kriterien!R64</f>
        <v>Die Gesamtnutzfläche, bestehend aus Haupt- und Nebennutzflächen (SIA 416),  beträgt mindestens 40 m2 pro zertifiziertem Bett.</v>
      </c>
      <c r="AB148" s="361" t="str">
        <f>Kriterien!S64</f>
        <v>La surface utile totale, composée de la surface utile principale et secondaire (SIA 416), s'élève à au moins 40 m2 par lit certifié.</v>
      </c>
      <c r="AC148" s="364" t="str">
        <f t="shared" si="31"/>
        <v>Die Gesamtnutzfläche, bestehend aus Haupt- und Nebennutzflächen (SIA 416),  beträgt mindestens 40 m2 pro zertifiziertem Bett.</v>
      </c>
      <c r="AD148" s="673" t="str">
        <f>Kriterien!U64</f>
        <v>Pläne, Dokumentation</v>
      </c>
      <c r="AE148" s="622" t="str">
        <f>Kriterien!V64</f>
        <v>Plans, documentation</v>
      </c>
      <c r="AF148" s="623" t="str">
        <f t="shared" si="32"/>
        <v>Pläne, Dokumentation</v>
      </c>
    </row>
    <row r="149" spans="1:32" s="1867" customFormat="1" ht="131.25" customHeight="1">
      <c r="A149" s="1909"/>
      <c r="B149" s="1910"/>
      <c r="C149" s="2160"/>
      <c r="D149" s="1889"/>
      <c r="E149" s="1911"/>
      <c r="F149" s="1878" t="str">
        <f t="shared" si="26"/>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G149" s="1912"/>
      <c r="H149" s="1913"/>
      <c r="I149" s="1914"/>
      <c r="J149" s="1915"/>
      <c r="K149" s="1916"/>
      <c r="L149" s="1893"/>
      <c r="M149" s="1894"/>
      <c r="N149" s="1895"/>
      <c r="O149" s="1896"/>
      <c r="P149" s="1897"/>
      <c r="AA149" s="662" t="str">
        <f>Kriterien!R65</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AB149" s="1898" t="str">
        <f>Kriterien!S65</f>
        <v>La surface utile principale comprend les chambres de patients, les centrales et les postes de travail en dehors des chambres pour la prise en charge directe des patients (médecins et soignants). 
La surface utile secondaire comprend tous les locaux situés à l'intérieur de l'USI. Exceptionellement, des locaux  situés à l'extérieur de l'USI peuvent être inclus dans la surface utile secondaire (p.ex. bureaux, salle de séjour, salles d'entretien ou d'attente pour les proches).
Ne sont PAS compris dans la surface utile de l’USI  les zones de circulation (SIA 416) utilisées pour accéder au périmètre de l’USI (escaliers, halls d'entrée, cages d'ascenseur) ou les zones fonctionnelles (SIA 416) telles que les locaux techniques du bâtiment, salles des machines, puits d'alimentation et d'évacuation ou zones grimpantes, même si elles sont situées dans le périmètre de l'USI.</v>
      </c>
      <c r="AC149" s="476" t="str">
        <f t="shared" ref="AC149" si="33">IF(AA149=0,"",IF($A$1="D",AA149,AB149))</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AD149" s="1899"/>
      <c r="AE149" s="1900"/>
      <c r="AF149" s="619"/>
    </row>
    <row r="150" spans="1:32" s="116" customFormat="1" ht="30" customHeight="1">
      <c r="A150" s="305"/>
      <c r="B150" s="306"/>
      <c r="C150" s="2157"/>
      <c r="D150" s="433"/>
      <c r="E150" s="581" t="s">
        <v>34</v>
      </c>
      <c r="F150" s="125" t="str">
        <f t="shared" si="26"/>
        <v>Einzelzimmer</v>
      </c>
      <c r="G150" s="548" t="str">
        <f t="shared" si="30"/>
        <v/>
      </c>
      <c r="H150" s="566" t="str">
        <f>IF('2 Autodeklaration'!F63=0,"",'2 Autodeklaration'!F63)</f>
        <v/>
      </c>
      <c r="I150" s="567"/>
      <c r="J150" s="688"/>
      <c r="K150" s="731" t="str">
        <f t="shared" si="27"/>
        <v>Einzelzimmer</v>
      </c>
      <c r="L150" s="1256"/>
      <c r="M150" s="1284"/>
      <c r="N150" s="1279"/>
      <c r="O150" s="595"/>
      <c r="P150" s="599"/>
      <c r="AA150" s="360" t="str">
        <f>Kriterien!R66</f>
        <v>Einzelzimmer</v>
      </c>
      <c r="AB150" s="361" t="str">
        <f>Kriterien!S66</f>
        <v>Chambre individuelle</v>
      </c>
      <c r="AC150" s="364" t="str">
        <f t="shared" si="31"/>
        <v>Einzelzimmer</v>
      </c>
      <c r="AD150" s="673">
        <f>Kriterien!U66</f>
        <v>0</v>
      </c>
      <c r="AE150" s="622">
        <f>Kriterien!V66</f>
        <v>0</v>
      </c>
      <c r="AF150" s="623" t="str">
        <f t="shared" si="32"/>
        <v/>
      </c>
    </row>
    <row r="151" spans="1:32" s="116" customFormat="1" ht="40" customHeight="1">
      <c r="A151" s="305">
        <f>'2 Autodeklaration'!A64</f>
        <v>0</v>
      </c>
      <c r="B151" s="306"/>
      <c r="C151" s="299"/>
      <c r="D151" s="433"/>
      <c r="E151" s="581" t="s">
        <v>296</v>
      </c>
      <c r="F151" s="123" t="str">
        <f t="shared" si="26"/>
        <v>Für ein IS-Einzelzimmer beträgt die minimale Hauptnutzfläche (SIA 416) 20 m2, eine eventuelle Schleuse nicht mitgerechnet.</v>
      </c>
      <c r="G151" s="549" t="str">
        <f t="shared" si="30"/>
        <v/>
      </c>
      <c r="H151" s="566" t="str">
        <f>IF('2 Autodeklaration'!F64=0,"",'2 Autodeklaration'!F64)</f>
        <v/>
      </c>
      <c r="I151" s="567"/>
      <c r="J151" s="688"/>
      <c r="K151" s="730" t="str">
        <f t="shared" si="27"/>
        <v>Für ein IS-Einzelzimmer beträgt die minimale Hauptnutzfläche (SIA 416) 20 m2, eine eventuelle Schleuse nicht mitgerechnet.</v>
      </c>
      <c r="L151" s="1256"/>
      <c r="M151" s="1284"/>
      <c r="N151" s="1279"/>
      <c r="O151" s="595"/>
      <c r="P151" s="599"/>
      <c r="AA151" s="360" t="str">
        <f>Kriterien!R67</f>
        <v>Für ein IS-Einzelzimmer beträgt die minimale Hauptnutzfläche (SIA 416) 20 m2, eine eventuelle Schleuse nicht mitgerechnet.</v>
      </c>
      <c r="AB151" s="361" t="str">
        <f>Kriterien!S67</f>
        <v>Pour une chambre individuelle, la surface utile principale (SIA 426)  est d'au moins 20 m2, un éventuel SAS n'étant pas compris dans ce chiffre.</v>
      </c>
      <c r="AC151" s="364" t="str">
        <f t="shared" si="31"/>
        <v>Für ein IS-Einzelzimmer beträgt die minimale Hauptnutzfläche (SIA 416) 20 m2, eine eventuelle Schleuse nicht mitgerechnet.</v>
      </c>
      <c r="AD151" s="673">
        <f>Kriterien!U67</f>
        <v>0</v>
      </c>
      <c r="AE151" s="622">
        <f>Kriterien!V67</f>
        <v>0</v>
      </c>
      <c r="AF151" s="623" t="str">
        <f t="shared" si="32"/>
        <v/>
      </c>
    </row>
    <row r="152" spans="1:32" s="116" customFormat="1" ht="30" customHeight="1">
      <c r="A152" s="305"/>
      <c r="B152" s="306"/>
      <c r="C152" s="2157"/>
      <c r="D152" s="433"/>
      <c r="E152" s="579">
        <v>2.4</v>
      </c>
      <c r="F152" s="118" t="str">
        <f t="shared" si="26"/>
        <v>Gebäudeinstallation und Brandschutz</v>
      </c>
      <c r="G152" s="548" t="str">
        <f t="shared" si="30"/>
        <v/>
      </c>
      <c r="H152" s="566" t="str">
        <f>IF('2 Autodeklaration'!F65=0,"",'2 Autodeklaration'!F65)</f>
        <v/>
      </c>
      <c r="I152" s="567"/>
      <c r="J152" s="688"/>
      <c r="K152" s="723" t="str">
        <f t="shared" si="27"/>
        <v>Gebäudeinstallation und Brandschutz</v>
      </c>
      <c r="L152" s="1256"/>
      <c r="M152" s="1284"/>
      <c r="N152" s="1279"/>
      <c r="O152" s="595"/>
      <c r="P152" s="599"/>
      <c r="AA152" s="360" t="str">
        <f>Kriterien!R68</f>
        <v>Gebäudeinstallation und Brandschutz</v>
      </c>
      <c r="AB152" s="361" t="str">
        <f>Kriterien!S68</f>
        <v>Installations domotiques et protection contre l'incendie</v>
      </c>
      <c r="AC152" s="364" t="str">
        <f t="shared" si="31"/>
        <v>Gebäudeinstallation und Brandschutz</v>
      </c>
      <c r="AD152" s="673">
        <f>Kriterien!U68</f>
        <v>0</v>
      </c>
      <c r="AE152" s="622">
        <f>Kriterien!V68</f>
        <v>0</v>
      </c>
      <c r="AF152" s="623" t="str">
        <f t="shared" si="32"/>
        <v/>
      </c>
    </row>
    <row r="153" spans="1:32" s="116" customFormat="1" ht="152" customHeight="1">
      <c r="A153" s="305"/>
      <c r="B153" s="306">
        <f>'2 Autodeklaration'!B66</f>
        <v>0</v>
      </c>
      <c r="C153" s="2157"/>
      <c r="D153" s="300"/>
      <c r="E153" s="581" t="s">
        <v>195</v>
      </c>
      <c r="F153" s="131" t="str">
        <f t="shared" si="26"/>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G153" s="548" t="str">
        <f t="shared" si="30"/>
        <v/>
      </c>
      <c r="H153" s="566" t="str">
        <f>IF('2 Autodeklaration'!F66=0,"",'2 Autodeklaration'!F66)</f>
        <v/>
      </c>
      <c r="I153" s="567"/>
      <c r="J153" s="688"/>
      <c r="K153" s="732" t="str">
        <f t="shared" si="27"/>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L153" s="1256"/>
      <c r="M153" s="1284"/>
      <c r="N153" s="1279"/>
      <c r="O153" s="595"/>
      <c r="P153" s="599"/>
      <c r="AA153" s="360" t="str">
        <f>Kriterien!R69</f>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AB153" s="361" t="str">
        <f>Kriterien!S69</f>
        <v>Les normes et directives suivantes doivent être respectées :
• normes d’installation à basse tension (NIBT) de l’organisation Electrosuisse
•  directives de l’Association suisse pour l’éclairage 
• directives de la Société suisse des ingénieurs en technique du bâtiment (SICC)
• prescriptions cantonales en matière de construction
• dispositions sur la protection contre les incendies de l’Association des établissements cantonaux d'assurance incendie (AEAI)</v>
      </c>
      <c r="AC153" s="364" t="str">
        <f t="shared" si="31"/>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AD153" s="673">
        <f>Kriterien!U69</f>
        <v>0</v>
      </c>
      <c r="AE153" s="622">
        <f>Kriterien!V69</f>
        <v>0</v>
      </c>
      <c r="AF153" s="623" t="str">
        <f t="shared" si="32"/>
        <v/>
      </c>
    </row>
    <row r="154" spans="1:32" s="116" customFormat="1" ht="75" customHeight="1">
      <c r="A154" s="305">
        <f>'2 Autodeklaration'!A67</f>
        <v>0</v>
      </c>
      <c r="B154" s="306"/>
      <c r="C154" s="299"/>
      <c r="D154" s="433"/>
      <c r="E154" s="581" t="s">
        <v>196</v>
      </c>
      <c r="F154" s="124" t="str">
        <f t="shared" si="26"/>
        <v>Die Leitung der IS legt ein unterzeichnetes Dokument der zuständigen Spitalstellen vor, worin das Einhalten der obigen Normen und Richtlinien in der Version zum Zeitpunkt des Baus bzw. des Umbaus bestätigt wird.</v>
      </c>
      <c r="G154" s="544" t="str">
        <f t="shared" si="30"/>
        <v>Dokument, Visitation</v>
      </c>
      <c r="H154" s="566" t="str">
        <f>IF('2 Autodeklaration'!F67=0,"",'2 Autodeklaration'!F67)</f>
        <v/>
      </c>
      <c r="I154" s="567"/>
      <c r="J154" s="688"/>
      <c r="K154" s="728" t="str">
        <f t="shared" si="27"/>
        <v>Die Leitung der IS legt ein unterzeichnetes Dokument der zuständigen Spitalstellen vor, worin das Einhalten der obigen Normen und Richtlinien in der Version zum Zeitpunkt des Baus bzw. des Umbaus bestätigt wird.</v>
      </c>
      <c r="L154" s="1256"/>
      <c r="M154" s="1284"/>
      <c r="N154" s="1279"/>
      <c r="O154" s="595"/>
      <c r="P154" s="599"/>
      <c r="AA154" s="360" t="str">
        <f>Kriterien!R70</f>
        <v>Die Leitung der IS legt ein unterzeichnetes Dokument der zuständigen Spitalstellen vor, worin das Einhalten der obigen Normen und Richtlinien in der Version zum Zeitpunkt des Baus bzw. des Umbaus bestätigt wird.</v>
      </c>
      <c r="AB154" s="361" t="str">
        <f>Kriterien!S70</f>
        <v>Le responsable de l’USI présente un document signé des services hospitaliers compétents, confirmant que les normes et directives énumérées ci-dessus ont été respectées dans la version en vigueur au moment de la construction ou de la transformation du bâtiment.</v>
      </c>
      <c r="AC154" s="364" t="str">
        <f t="shared" si="31"/>
        <v>Die Leitung der IS legt ein unterzeichnetes Dokument der zuständigen Spitalstellen vor, worin das Einhalten der obigen Normen und Richtlinien in der Version zum Zeitpunkt des Baus bzw. des Umbaus bestätigt wird.</v>
      </c>
      <c r="AD154" s="673" t="str">
        <f>Kriterien!U70</f>
        <v>Dokument, Visitation</v>
      </c>
      <c r="AE154" s="622" t="str">
        <f>Kriterien!V70</f>
        <v>Document, visite</v>
      </c>
      <c r="AF154" s="623" t="str">
        <f t="shared" si="32"/>
        <v>Dokument, Visitation</v>
      </c>
    </row>
    <row r="155" spans="1:32" s="116" customFormat="1" ht="40" customHeight="1">
      <c r="A155" s="305">
        <f>'2 Autodeklaration'!A68</f>
        <v>0</v>
      </c>
      <c r="B155" s="306"/>
      <c r="C155" s="299"/>
      <c r="D155" s="433"/>
      <c r="E155" s="581" t="s">
        <v>197</v>
      </c>
      <c r="F155" s="124" t="str">
        <f t="shared" si="26"/>
        <v>Für Patientenzimmer gilt die Einteilung in Gruppe 2 gemäss NIN-Normen.</v>
      </c>
      <c r="G155" s="544" t="str">
        <f t="shared" si="30"/>
        <v>Dokument, Visitation</v>
      </c>
      <c r="H155" s="566" t="str">
        <f>IF('2 Autodeklaration'!F68=0,"",'2 Autodeklaration'!F68)</f>
        <v/>
      </c>
      <c r="I155" s="567"/>
      <c r="J155" s="688"/>
      <c r="K155" s="728" t="str">
        <f t="shared" si="27"/>
        <v>Für Patientenzimmer gilt die Einteilung in Gruppe 2 gemäss NIN-Normen.</v>
      </c>
      <c r="L155" s="1256"/>
      <c r="M155" s="1284"/>
      <c r="N155" s="1279"/>
      <c r="O155" s="595"/>
      <c r="P155" s="599"/>
      <c r="AA155" s="360" t="str">
        <f>Kriterien!R71</f>
        <v>Für Patientenzimmer gilt die Einteilung in Gruppe 2 gemäss NIN-Normen.</v>
      </c>
      <c r="AB155" s="361" t="str">
        <f>Kriterien!S71</f>
        <v>Les chambres de malades font partie des locaux groupe 2 conformément aux normes NIBT.</v>
      </c>
      <c r="AC155" s="364" t="str">
        <f t="shared" si="31"/>
        <v>Für Patientenzimmer gilt die Einteilung in Gruppe 2 gemäss NIN-Normen.</v>
      </c>
      <c r="AD155" s="673" t="str">
        <f>Kriterien!U71</f>
        <v>Dokument, Visitation</v>
      </c>
      <c r="AE155" s="622" t="str">
        <f>Kriterien!V71</f>
        <v>Document, visite</v>
      </c>
      <c r="AF155" s="623" t="str">
        <f t="shared" si="32"/>
        <v>Dokument, Visitation</v>
      </c>
    </row>
    <row r="156" spans="1:32" s="116" customFormat="1" ht="60" customHeight="1">
      <c r="A156" s="305">
        <f>'2 Autodeklaration'!A69</f>
        <v>0</v>
      </c>
      <c r="B156" s="306"/>
      <c r="C156" s="299"/>
      <c r="D156" s="433"/>
      <c r="E156" s="581" t="s">
        <v>198</v>
      </c>
      <c r="F156" s="124" t="str">
        <f t="shared" si="26"/>
        <v>In Patientenzimmern ist mindestens der Wärme- und Klima-Standard für Räume mit erhöhten hygienischen Ansprüchen gemäss SWKI Richtlinien umgesetzt.</v>
      </c>
      <c r="G156" s="544" t="str">
        <f t="shared" si="30"/>
        <v>Dokument, Visitation</v>
      </c>
      <c r="H156" s="566" t="str">
        <f>IF('2 Autodeklaration'!F69=0,"",'2 Autodeklaration'!F69)</f>
        <v/>
      </c>
      <c r="I156" s="567"/>
      <c r="J156" s="688"/>
      <c r="K156" s="728" t="str">
        <f t="shared" si="27"/>
        <v>In Patientenzimmern ist mindestens der Wärme- und Klima-Standard für Räume mit erhöhten hygienischen Ansprüchen gemäss SWKI Richtlinien umgesetzt.</v>
      </c>
      <c r="L156" s="1256"/>
      <c r="M156" s="1284"/>
      <c r="N156" s="1279"/>
      <c r="O156" s="595"/>
      <c r="P156" s="599"/>
      <c r="AA156" s="360" t="str">
        <f>Kriterien!R72</f>
        <v>In Patientenzimmern ist mindestens der Wärme- und Klima-Standard für Räume mit erhöhten hygienischen Ansprüchen gemäss SWKI Richtlinien umgesetzt.</v>
      </c>
      <c r="AB156" s="361" t="str">
        <f>Kriterien!S72</f>
        <v>Les chambres de malades répondent au moins aux normes de chauffage et climatisation qui s'appliquent aux pièces soumises à des exigences hygiéniques élevées, conformément aux directives de la SICC.</v>
      </c>
      <c r="AC156" s="364" t="str">
        <f t="shared" si="31"/>
        <v>In Patientenzimmern ist mindestens der Wärme- und Klima-Standard für Räume mit erhöhten hygienischen Ansprüchen gemäss SWKI Richtlinien umgesetzt.</v>
      </c>
      <c r="AD156" s="673" t="str">
        <f>Kriterien!U72</f>
        <v>Dokument, Visitation</v>
      </c>
      <c r="AE156" s="622" t="str">
        <f>Kriterien!V72</f>
        <v>Document, visite</v>
      </c>
      <c r="AF156" s="623" t="str">
        <f t="shared" si="32"/>
        <v>Dokument, Visitation</v>
      </c>
    </row>
    <row r="157" spans="1:32" s="116" customFormat="1" ht="30" customHeight="1">
      <c r="A157" s="305"/>
      <c r="B157" s="306"/>
      <c r="C157" s="2157"/>
      <c r="D157" s="433"/>
      <c r="E157" s="579">
        <v>2.5</v>
      </c>
      <c r="F157" s="118" t="str">
        <f t="shared" si="26"/>
        <v>Räumlichkeiten und Einrichtungen</v>
      </c>
      <c r="G157" s="548" t="str">
        <f t="shared" si="30"/>
        <v/>
      </c>
      <c r="H157" s="566" t="str">
        <f>IF('2 Autodeklaration'!F70=0,"",'2 Autodeklaration'!F70)</f>
        <v/>
      </c>
      <c r="I157" s="567"/>
      <c r="J157" s="688"/>
      <c r="K157" s="723" t="str">
        <f t="shared" si="27"/>
        <v>Räumlichkeiten und Einrichtungen</v>
      </c>
      <c r="L157" s="1256"/>
      <c r="M157" s="1284"/>
      <c r="N157" s="1279"/>
      <c r="O157" s="595"/>
      <c r="P157" s="599"/>
      <c r="AA157" s="360" t="str">
        <f>Kriterien!R73</f>
        <v>Räumlichkeiten und Einrichtungen</v>
      </c>
      <c r="AB157" s="361" t="str">
        <f>Kriterien!S73</f>
        <v>Locaux et équipements</v>
      </c>
      <c r="AC157" s="364" t="str">
        <f t="shared" si="31"/>
        <v>Räumlichkeiten und Einrichtungen</v>
      </c>
      <c r="AD157" s="673">
        <f>Kriterien!U73</f>
        <v>0</v>
      </c>
      <c r="AE157" s="622">
        <f>Kriterien!V73</f>
        <v>0</v>
      </c>
      <c r="AF157" s="623" t="str">
        <f t="shared" si="32"/>
        <v/>
      </c>
    </row>
    <row r="158" spans="1:32" s="116" customFormat="1" ht="30" customHeight="1">
      <c r="A158" s="305"/>
      <c r="B158" s="306"/>
      <c r="C158" s="2157"/>
      <c r="D158" s="433"/>
      <c r="E158" s="581" t="s">
        <v>45</v>
      </c>
      <c r="F158" s="125" t="str">
        <f t="shared" si="26"/>
        <v>Patientenzimmer</v>
      </c>
      <c r="G158" s="548" t="str">
        <f t="shared" si="30"/>
        <v/>
      </c>
      <c r="H158" s="566" t="str">
        <f>IF('2 Autodeklaration'!F71=0,"",'2 Autodeklaration'!F71)</f>
        <v/>
      </c>
      <c r="I158" s="567"/>
      <c r="J158" s="688"/>
      <c r="K158" s="731" t="str">
        <f t="shared" si="27"/>
        <v>Patientenzimmer</v>
      </c>
      <c r="L158" s="1256"/>
      <c r="M158" s="1284"/>
      <c r="N158" s="1279"/>
      <c r="O158" s="595"/>
      <c r="P158" s="599"/>
      <c r="AA158" s="360" t="str">
        <f>Kriterien!R74</f>
        <v>Patientenzimmer</v>
      </c>
      <c r="AB158" s="361" t="str">
        <f>Kriterien!S74</f>
        <v>Chambre de patient</v>
      </c>
      <c r="AC158" s="364" t="str">
        <f t="shared" si="31"/>
        <v>Patientenzimmer</v>
      </c>
      <c r="AD158" s="673">
        <f>Kriterien!U74</f>
        <v>0</v>
      </c>
      <c r="AE158" s="622">
        <f>Kriterien!V74</f>
        <v>0</v>
      </c>
      <c r="AF158" s="623" t="str">
        <f t="shared" si="32"/>
        <v/>
      </c>
    </row>
    <row r="159" spans="1:32" s="116" customFormat="1" ht="30" customHeight="1">
      <c r="A159" s="305"/>
      <c r="B159" s="306">
        <f>'2 Autodeklaration'!B72</f>
        <v>0</v>
      </c>
      <c r="C159" s="2157"/>
      <c r="D159" s="300"/>
      <c r="E159" s="581" t="s">
        <v>199</v>
      </c>
      <c r="F159" s="120" t="str">
        <f t="shared" si="26"/>
        <v>In jedem Zimmer ist eine Wanduhr installiert.</v>
      </c>
      <c r="G159" s="544" t="str">
        <f t="shared" si="30"/>
        <v>Visitation</v>
      </c>
      <c r="H159" s="566" t="str">
        <f>IF('2 Autodeklaration'!F72=0,"",'2 Autodeklaration'!F72)</f>
        <v/>
      </c>
      <c r="I159" s="567"/>
      <c r="J159" s="688"/>
      <c r="K159" s="724" t="str">
        <f t="shared" si="27"/>
        <v>In jedem Zimmer ist eine Wanduhr installiert.</v>
      </c>
      <c r="L159" s="1256"/>
      <c r="M159" s="1284"/>
      <c r="N159" s="1279"/>
      <c r="O159" s="595"/>
      <c r="P159" s="599"/>
      <c r="AA159" s="360" t="str">
        <f>Kriterien!R75</f>
        <v>In jedem Zimmer ist eine Wanduhr installiert.</v>
      </c>
      <c r="AB159" s="361" t="str">
        <f>Kriterien!S75</f>
        <v>Chaque chambre dispose d'une horloge murale.</v>
      </c>
      <c r="AC159" s="364" t="str">
        <f t="shared" si="31"/>
        <v>In jedem Zimmer ist eine Wanduhr installiert.</v>
      </c>
      <c r="AD159" s="673" t="str">
        <f>Kriterien!U75</f>
        <v>Visitation</v>
      </c>
      <c r="AE159" s="622" t="str">
        <f>Kriterien!V75</f>
        <v>Visite</v>
      </c>
      <c r="AF159" s="623" t="str">
        <f t="shared" si="32"/>
        <v>Visitation</v>
      </c>
    </row>
    <row r="160" spans="1:32" s="116" customFormat="1" ht="60" customHeight="1">
      <c r="A160" s="305"/>
      <c r="B160" s="306">
        <f>'2 Autodeklaration'!B73</f>
        <v>0</v>
      </c>
      <c r="C160" s="2157"/>
      <c r="D160" s="300"/>
      <c r="E160" s="581" t="s">
        <v>200</v>
      </c>
      <c r="F160" s="120" t="str">
        <f t="shared" si="26"/>
        <v>Zur Verbesserung der Überwachung muss der obere Teil der Türen und der Trennwände verglast sein. Integrierte Storen oder andere wirksame Sichtschutzmassnahmen verhindern unerwünschte optische Störungen.</v>
      </c>
      <c r="G160" s="544" t="str">
        <f t="shared" si="30"/>
        <v>Visitation</v>
      </c>
      <c r="H160" s="566" t="str">
        <f>IF('2 Autodeklaration'!F73=0,"",'2 Autodeklaration'!F73)</f>
        <v/>
      </c>
      <c r="I160" s="567"/>
      <c r="J160" s="688"/>
      <c r="K160" s="724" t="str">
        <f t="shared" si="27"/>
        <v>Zur Verbesserung der Überwachung muss der obere Teil der Türen und der Trennwände verglast sein. Integrierte Storen oder andere wirksame Sichtschutzmassnahmen verhindern unerwünschte optische Störungen.</v>
      </c>
      <c r="L160" s="1256"/>
      <c r="M160" s="1284"/>
      <c r="N160" s="1279"/>
      <c r="O160" s="595"/>
      <c r="P160" s="599"/>
      <c r="AA160" s="360" t="str">
        <f>Kriterien!R76</f>
        <v>Zur Verbesserung der Überwachung muss der obere Teil der Türen und der Trennwände verglast sein. Integrierte Storen oder andere wirksame Sichtschutzmassnahmen verhindern unerwünschte optische Störungen.</v>
      </c>
      <c r="AB160" s="361" t="str">
        <f>Kriterien!S76</f>
        <v>Pour faciliter la surveillance du patient, la partie supérieure des portes et des cloisons doit être pourvue de baies vitrées. Un store intégré ou tout autre système pare-vue permet d'atténuer les nuisances lumineuses.</v>
      </c>
      <c r="AC160" s="364" t="str">
        <f t="shared" si="31"/>
        <v>Zur Verbesserung der Überwachung muss der obere Teil der Türen und der Trennwände verglast sein. Integrierte Storen oder andere wirksame Sichtschutzmassnahmen verhindern unerwünschte optische Störungen.</v>
      </c>
      <c r="AD160" s="673" t="str">
        <f>Kriterien!U76</f>
        <v>Visitation</v>
      </c>
      <c r="AE160" s="622" t="str">
        <f>Kriterien!V76</f>
        <v>Visite</v>
      </c>
      <c r="AF160" s="623" t="str">
        <f t="shared" si="32"/>
        <v>Visitation</v>
      </c>
    </row>
    <row r="161" spans="1:32" s="116" customFormat="1" ht="40" customHeight="1">
      <c r="A161" s="305"/>
      <c r="B161" s="306">
        <f>'2 Autodeklaration'!B74</f>
        <v>0</v>
      </c>
      <c r="C161" s="2157"/>
      <c r="D161" s="300"/>
      <c r="E161" s="581" t="s">
        <v>201</v>
      </c>
      <c r="F161" s="120" t="str">
        <f t="shared" si="26"/>
        <v xml:space="preserve">Jedes Zimmer soll einen Blick nach aussen ermöglichen, um den Patienten die räumliche Orientierung zu erleichtern. </v>
      </c>
      <c r="G161" s="548" t="str">
        <f t="shared" si="30"/>
        <v/>
      </c>
      <c r="H161" s="566" t="str">
        <f>IF('2 Autodeklaration'!F74=0,"",'2 Autodeklaration'!F74)</f>
        <v/>
      </c>
      <c r="I161" s="567"/>
      <c r="J161" s="688"/>
      <c r="K161" s="724" t="str">
        <f t="shared" si="27"/>
        <v xml:space="preserve">Jedes Zimmer soll einen Blick nach aussen ermöglichen, um den Patienten die räumliche Orientierung zu erleichtern. </v>
      </c>
      <c r="L161" s="1256"/>
      <c r="M161" s="1284"/>
      <c r="N161" s="1279"/>
      <c r="O161" s="595"/>
      <c r="P161" s="599"/>
      <c r="AA161" s="360" t="str">
        <f>Kriterien!R77</f>
        <v xml:space="preserve">Jedes Zimmer soll einen Blick nach aussen ermöglichen, um den Patienten die räumliche Orientierung zu erleichtern. </v>
      </c>
      <c r="AB161" s="361" t="str">
        <f>Kriterien!S77</f>
        <v xml:space="preserve">Chaque chambre doit être pourvue d'une ouverture vers l'extérieur dans le but de favoriser l'orientation spatiale du patient. </v>
      </c>
      <c r="AC161" s="364" t="str">
        <f t="shared" si="31"/>
        <v xml:space="preserve">Jedes Zimmer soll einen Blick nach aussen ermöglichen, um den Patienten die räumliche Orientierung zu erleichtern. </v>
      </c>
      <c r="AD161" s="673">
        <f>Kriterien!U77</f>
        <v>0</v>
      </c>
      <c r="AE161" s="622">
        <f>Kriterien!V77</f>
        <v>0</v>
      </c>
      <c r="AF161" s="623" t="str">
        <f t="shared" si="32"/>
        <v/>
      </c>
    </row>
    <row r="162" spans="1:32" s="116" customFormat="1" ht="59" customHeight="1">
      <c r="A162" s="305">
        <f>'2 Autodeklaration'!A75</f>
        <v>0</v>
      </c>
      <c r="B162" s="306"/>
      <c r="C162" s="299"/>
      <c r="D162" s="433"/>
      <c r="E162" s="581" t="s">
        <v>202</v>
      </c>
      <c r="F162" s="122" t="str">
        <f>AC162</f>
        <v>Für jeden Bettenplatz ist ein zugehöriges Lavabo definiert. Das Lavabo muss nicht im Zimmer sein. Ein Lavabo kann mehrere Bettenplätze versorgen.</v>
      </c>
      <c r="G162" s="544" t="str">
        <f t="shared" si="30"/>
        <v>Visitation</v>
      </c>
      <c r="H162" s="566" t="str">
        <f>IF('2 Autodeklaration'!F75=0,"",'2 Autodeklaration'!F75)</f>
        <v/>
      </c>
      <c r="I162" s="567"/>
      <c r="J162" s="688"/>
      <c r="K162" s="725" t="str">
        <f t="shared" si="27"/>
        <v>Für jeden Bettenplatz ist ein zugehöriges Lavabo definiert. Das Lavabo muss nicht im Zimmer sein. Ein Lavabo kann mehrere Bettenplätze versorgen.</v>
      </c>
      <c r="L162" s="1256"/>
      <c r="M162" s="1284"/>
      <c r="N162" s="1279"/>
      <c r="O162" s="595"/>
      <c r="P162" s="599"/>
      <c r="AA162" s="360" t="str">
        <f>Kriterien!R78</f>
        <v>Für jeden Bettenplatz ist ein zugehöriges Lavabo definiert. Das Lavabo muss nicht im Zimmer sein. Ein Lavabo kann mehrere Bettenplätze versorgen.</v>
      </c>
      <c r="AB162" s="361" t="str">
        <f>Kriterien!S78</f>
        <v xml:space="preserve">Pour chaque lit, l’accès à un lavabo est défini. Ce lavabo n’a pas besoin d‘être localisé dans la chambre. Un lavabo peut desservir plusieurs lits.hambre dispose d'un lavabo. </v>
      </c>
      <c r="AC162" s="364" t="str">
        <f t="shared" si="31"/>
        <v>Für jeden Bettenplatz ist ein zugehöriges Lavabo definiert. Das Lavabo muss nicht im Zimmer sein. Ein Lavabo kann mehrere Bettenplätze versorgen.</v>
      </c>
      <c r="AD162" s="673" t="str">
        <f>Kriterien!U78</f>
        <v>Visitation</v>
      </c>
      <c r="AE162" s="622" t="str">
        <f>Kriterien!V78</f>
        <v>Visite</v>
      </c>
      <c r="AF162" s="623" t="str">
        <f t="shared" si="32"/>
        <v>Visitation</v>
      </c>
    </row>
    <row r="163" spans="1:32" s="116" customFormat="1" ht="74" customHeight="1">
      <c r="A163" s="305"/>
      <c r="B163" s="306">
        <f>'2 Autodeklaration'!B76</f>
        <v>0</v>
      </c>
      <c r="C163" s="2157"/>
      <c r="D163" s="300"/>
      <c r="E163" s="581" t="s">
        <v>203</v>
      </c>
      <c r="F163" s="126" t="str">
        <f t="shared" si="26"/>
        <v>Die Armaturen für Kalt- und Warmwasser verfügen über Ellbogen-,  Fusspedal- oder Sensorbedienung. Seifenspender, Desinfektionsmittelspender und Ab-trocknungspapierspender müssen beim Lavabo vorhanden sein.</v>
      </c>
      <c r="G163" s="544" t="str">
        <f t="shared" si="30"/>
        <v>Visitation</v>
      </c>
      <c r="H163" s="566" t="str">
        <f>IF('2 Autodeklaration'!F76=0,"",'2 Autodeklaration'!F76)</f>
        <v/>
      </c>
      <c r="I163" s="567"/>
      <c r="J163" s="688"/>
      <c r="K163" s="733" t="str">
        <f t="shared" si="27"/>
        <v>Die Armaturen für Kalt- und Warmwasser verfügen über Ellbogen-,  Fusspedal- oder Sensorbedienung. Seifenspender, Desinfektionsmittelspender und Ab-trocknungspapierspender müssen beim Lavabo vorhanden sein.</v>
      </c>
      <c r="L163" s="1256"/>
      <c r="M163" s="1284"/>
      <c r="N163" s="1279"/>
      <c r="O163" s="595"/>
      <c r="P163" s="599"/>
      <c r="AA163" s="360" t="str">
        <f>Kriterien!R79</f>
        <v>Die Armaturen für Kalt- und Warmwasser verfügen über Ellbogen-,  Fusspedal- oder Sensorbedienung. Seifenspender, Desinfektionsmittelspender und Ab-trocknungspapierspender müssen beim Lavabo vorhanden sein.</v>
      </c>
      <c r="AB163" s="361" t="str">
        <f>Kriterien!S79</f>
        <v>Il délivre de l'eau chaude et froide à l'aide d'un mécanisme actionné par le coude ou le pied de l'utilisateur, voire d'un détecteur de mouvement. Un réservoir de savon liquide, un dispensateur de désinfectant et des essuie-mains à usage unique doivent être disponibles près du lavabo.</v>
      </c>
      <c r="AC163" s="364" t="str">
        <f t="shared" si="31"/>
        <v>Die Armaturen für Kalt- und Warmwasser verfügen über Ellbogen-,  Fusspedal- oder Sensorbedienung. Seifenspender, Desinfektionsmittelspender und Ab-trocknungspapierspender müssen beim Lavabo vorhanden sein.</v>
      </c>
      <c r="AD163" s="673" t="str">
        <f>Kriterien!U79</f>
        <v>Visitation</v>
      </c>
      <c r="AE163" s="622" t="str">
        <f>Kriterien!V79</f>
        <v>Visite</v>
      </c>
      <c r="AF163" s="623" t="str">
        <f t="shared" si="32"/>
        <v>Visitation</v>
      </c>
    </row>
    <row r="164" spans="1:32" s="116" customFormat="1" ht="60" customHeight="1">
      <c r="A164" s="305"/>
      <c r="B164" s="306">
        <f>'2 Autodeklaration'!B77</f>
        <v>0</v>
      </c>
      <c r="C164" s="2157"/>
      <c r="D164" s="300"/>
      <c r="E164" s="581" t="s">
        <v>204</v>
      </c>
      <c r="F164" s="126" t="str">
        <f t="shared" si="26"/>
        <v>Alle Patientenzimmeroberflächen sind desinfektionsfähig, schalldämmend, ab-waschbar, die Böden zusätzlich leicht befahrbar und rutschhemmend.</v>
      </c>
      <c r="G164" s="544" t="str">
        <f t="shared" si="30"/>
        <v/>
      </c>
      <c r="H164" s="566" t="str">
        <f>IF('2 Autodeklaration'!F77=0,"",'2 Autodeklaration'!F77)</f>
        <v/>
      </c>
      <c r="I164" s="567"/>
      <c r="J164" s="688"/>
      <c r="K164" s="733" t="str">
        <f t="shared" si="27"/>
        <v>Alle Patientenzimmeroberflächen sind desinfektionsfähig, schalldämmend, ab-waschbar, die Böden zusätzlich leicht befahrbar und rutschhemmend.</v>
      </c>
      <c r="L164" s="1256"/>
      <c r="M164" s="1284"/>
      <c r="N164" s="1279"/>
      <c r="O164" s="595"/>
      <c r="P164" s="599"/>
      <c r="AA164" s="360" t="str">
        <f>Kriterien!R80</f>
        <v>Alle Patientenzimmeroberflächen sind desinfektionsfähig, schalldämmend, ab-waschbar, die Böden zusätzlich leicht befahrbar und rutschhemmend.</v>
      </c>
      <c r="AB164" s="361" t="str">
        <f>Kriterien!S80</f>
        <v>Toutes les surfaces de la chambre du patient doivent être revêtues d'un matériau facile à désinfecter, insonorisant, lavable, propice au déplacement sur roulettes et antidérapant.</v>
      </c>
      <c r="AC164" s="364" t="str">
        <f t="shared" si="31"/>
        <v>Alle Patientenzimmeroberflächen sind desinfektionsfähig, schalldämmend, ab-waschbar, die Böden zusätzlich leicht befahrbar und rutschhemmend.</v>
      </c>
      <c r="AD164" s="673">
        <f>Kriterien!U80</f>
        <v>0</v>
      </c>
      <c r="AE164" s="622" t="str">
        <f>Kriterien!V80</f>
        <v>Visite</v>
      </c>
      <c r="AF164" s="623" t="str">
        <f t="shared" si="32"/>
        <v/>
      </c>
    </row>
    <row r="165" spans="1:32" s="116" customFormat="1" ht="30" customHeight="1">
      <c r="A165" s="305">
        <f>'2 Autodeklaration'!A78</f>
        <v>0</v>
      </c>
      <c r="B165" s="306"/>
      <c r="C165" s="299"/>
      <c r="D165" s="433"/>
      <c r="E165" s="581" t="s">
        <v>205</v>
      </c>
      <c r="F165" s="122" t="str">
        <f t="shared" si="26"/>
        <v>Warmluft- und/oder Gebläse-Händetrockner sind nicht erlaubt.</v>
      </c>
      <c r="G165" s="544" t="str">
        <f t="shared" si="30"/>
        <v>Visitation</v>
      </c>
      <c r="H165" s="566" t="str">
        <f>IF('2 Autodeklaration'!F78=0,"",'2 Autodeklaration'!F78)</f>
        <v/>
      </c>
      <c r="I165" s="567"/>
      <c r="J165" s="688"/>
      <c r="K165" s="725" t="str">
        <f t="shared" si="27"/>
        <v>Warmluft- und/oder Gebläse-Händetrockner sind nicht erlaubt.</v>
      </c>
      <c r="L165" s="1256"/>
      <c r="M165" s="1284"/>
      <c r="N165" s="1279"/>
      <c r="O165" s="595"/>
      <c r="P165" s="599"/>
      <c r="AA165" s="360" t="str">
        <f>Kriterien!R81</f>
        <v>Warmluft- und/oder Gebläse-Händetrockner sind nicht erlaubt.</v>
      </c>
      <c r="AB165" s="361" t="str">
        <f>Kriterien!S81</f>
        <v>L'usage de sèche-mains par air chaud et/ou soufflerie n'est pas autorisé.</v>
      </c>
      <c r="AC165" s="364" t="str">
        <f t="shared" si="31"/>
        <v>Warmluft- und/oder Gebläse-Händetrockner sind nicht erlaubt.</v>
      </c>
      <c r="AD165" s="673" t="str">
        <f>Kriterien!U81</f>
        <v>Visitation</v>
      </c>
      <c r="AE165" s="622" t="str">
        <f>Kriterien!V81</f>
        <v>Visite</v>
      </c>
      <c r="AF165" s="623" t="str">
        <f t="shared" si="32"/>
        <v>Visitation</v>
      </c>
    </row>
    <row r="166" spans="1:32" s="116" customFormat="1" ht="30" customHeight="1">
      <c r="A166" s="305"/>
      <c r="B166" s="306"/>
      <c r="C166" s="2157"/>
      <c r="D166" s="433"/>
      <c r="E166" s="581" t="s">
        <v>65</v>
      </c>
      <c r="F166" s="125" t="str">
        <f t="shared" si="26"/>
        <v>Überwachung des Patienten</v>
      </c>
      <c r="G166" s="548" t="str">
        <f t="shared" si="30"/>
        <v/>
      </c>
      <c r="H166" s="566" t="str">
        <f>IF('2 Autodeklaration'!F79=0,"",'2 Autodeklaration'!F79)</f>
        <v/>
      </c>
      <c r="I166" s="567"/>
      <c r="J166" s="688"/>
      <c r="K166" s="731" t="str">
        <f t="shared" si="27"/>
        <v>Überwachung des Patienten</v>
      </c>
      <c r="L166" s="1256"/>
      <c r="M166" s="1284"/>
      <c r="N166" s="1279"/>
      <c r="O166" s="595"/>
      <c r="P166" s="599"/>
      <c r="AA166" s="360" t="str">
        <f>Kriterien!R82</f>
        <v>Überwachung des Patienten</v>
      </c>
      <c r="AB166" s="361" t="str">
        <f>Kriterien!S82</f>
        <v xml:space="preserve">Surveillance du patient </v>
      </c>
      <c r="AC166" s="364" t="str">
        <f t="shared" si="31"/>
        <v>Überwachung des Patienten</v>
      </c>
      <c r="AD166" s="673">
        <f>Kriterien!U82</f>
        <v>0</v>
      </c>
      <c r="AE166" s="622">
        <f>Kriterien!V82</f>
        <v>0</v>
      </c>
      <c r="AF166" s="623" t="str">
        <f t="shared" si="32"/>
        <v/>
      </c>
    </row>
    <row r="167" spans="1:32" s="116" customFormat="1" ht="40" customHeight="1">
      <c r="A167" s="305">
        <f>'2 Autodeklaration'!A80</f>
        <v>0</v>
      </c>
      <c r="B167" s="306"/>
      <c r="C167" s="299"/>
      <c r="D167" s="433"/>
      <c r="E167" s="581" t="s">
        <v>206</v>
      </c>
      <c r="F167" s="122" t="str">
        <f t="shared" si="26"/>
        <v>Eine Monitor-Überwachung mit Alarmfunktion für jeden Patientenplatz muss vorhanden sein.</v>
      </c>
      <c r="G167" s="545" t="str">
        <f t="shared" si="30"/>
        <v>Visitation, Dokumentation</v>
      </c>
      <c r="H167" s="566" t="str">
        <f>IF('2 Autodeklaration'!F80=0,"",'2 Autodeklaration'!F80)</f>
        <v/>
      </c>
      <c r="I167" s="567"/>
      <c r="J167" s="688"/>
      <c r="K167" s="725" t="str">
        <f t="shared" si="27"/>
        <v>Eine Monitor-Überwachung mit Alarmfunktion für jeden Patientenplatz muss vorhanden sein.</v>
      </c>
      <c r="L167" s="1256"/>
      <c r="M167" s="1284"/>
      <c r="N167" s="1279"/>
      <c r="O167" s="595"/>
      <c r="P167" s="599"/>
      <c r="AA167" s="360" t="str">
        <f>Kriterien!R83</f>
        <v>Eine Monitor-Überwachung mit Alarmfunktion für jeden Patientenplatz muss vorhanden sein.</v>
      </c>
      <c r="AB167" s="361" t="str">
        <f>Kriterien!S83</f>
        <v>Une surveillance par monitorage avec fonction d'alarme doit être disponible pour chaque patient.</v>
      </c>
      <c r="AC167" s="364" t="str">
        <f t="shared" si="31"/>
        <v>Eine Monitor-Überwachung mit Alarmfunktion für jeden Patientenplatz muss vorhanden sein.</v>
      </c>
      <c r="AD167" s="673" t="str">
        <f>Kriterien!U83</f>
        <v>Visitation, Dokumentation</v>
      </c>
      <c r="AE167" s="622" t="str">
        <f>Kriterien!V83</f>
        <v>Visite, documentation</v>
      </c>
      <c r="AF167" s="623" t="str">
        <f t="shared" si="32"/>
        <v>Visitation, Dokumentation</v>
      </c>
    </row>
    <row r="168" spans="1:32" s="116" customFormat="1" ht="30" customHeight="1">
      <c r="A168" s="305">
        <f>'2 Autodeklaration'!A81</f>
        <v>0</v>
      </c>
      <c r="B168" s="306"/>
      <c r="C168" s="299"/>
      <c r="D168" s="433"/>
      <c r="E168" s="581" t="s">
        <v>207</v>
      </c>
      <c r="F168" s="122" t="str">
        <f t="shared" si="26"/>
        <v>Die Einzelmonitore sind in einer oder mehreren Zentralen integriert.</v>
      </c>
      <c r="G168" s="545" t="str">
        <f t="shared" si="30"/>
        <v>Visitation, Dokumentation</v>
      </c>
      <c r="H168" s="566" t="str">
        <f>IF('2 Autodeklaration'!F81=0,"",'2 Autodeklaration'!F81)</f>
        <v/>
      </c>
      <c r="I168" s="567"/>
      <c r="J168" s="688"/>
      <c r="K168" s="725" t="str">
        <f t="shared" si="27"/>
        <v>Die Einzelmonitore sind in einer oder mehreren Zentralen integriert.</v>
      </c>
      <c r="L168" s="1256"/>
      <c r="M168" s="1284"/>
      <c r="N168" s="1279"/>
      <c r="O168" s="595"/>
      <c r="P168" s="599"/>
      <c r="AA168" s="360" t="str">
        <f>Kriterien!R84</f>
        <v>Die Einzelmonitore sind in einer oder mehreren Zentralen integriert.</v>
      </c>
      <c r="AB168" s="361" t="str">
        <f>Kriterien!S84</f>
        <v>Les moniteurs individuels sont intégrés dans un ou plusieurs postes centraux.</v>
      </c>
      <c r="AC168" s="364" t="str">
        <f t="shared" si="31"/>
        <v>Die Einzelmonitore sind in einer oder mehreren Zentralen integriert.</v>
      </c>
      <c r="AD168" s="673" t="str">
        <f>Kriterien!U84</f>
        <v>Visitation, Dokumentation</v>
      </c>
      <c r="AE168" s="622" t="str">
        <f>Kriterien!V84</f>
        <v>Visite, documentation</v>
      </c>
      <c r="AF168" s="623" t="str">
        <f t="shared" si="32"/>
        <v>Visitation, Dokumentation</v>
      </c>
    </row>
    <row r="169" spans="1:32" s="116" customFormat="1" ht="40" customHeight="1">
      <c r="A169" s="305"/>
      <c r="B169" s="306">
        <f>'2 Autodeklaration'!B82</f>
        <v>0</v>
      </c>
      <c r="C169" s="2157"/>
      <c r="D169" s="300"/>
      <c r="E169" s="581" t="s">
        <v>208</v>
      </c>
      <c r="F169" s="122" t="str">
        <f t="shared" si="26"/>
        <v>Es besteht ein Data-Backup- und ein Alarmaufzeichnungssystem der Monitordaten.</v>
      </c>
      <c r="G169" s="545" t="str">
        <f t="shared" si="30"/>
        <v>Visitation, Dokumentation</v>
      </c>
      <c r="H169" s="566" t="str">
        <f>IF('2 Autodeklaration'!F82=0,"",'2 Autodeklaration'!F82)</f>
        <v/>
      </c>
      <c r="I169" s="567"/>
      <c r="J169" s="688"/>
      <c r="K169" s="725" t="str">
        <f t="shared" si="27"/>
        <v>Es besteht ein Data-Backup- und ein Alarmaufzeichnungssystem der Monitordaten.</v>
      </c>
      <c r="L169" s="1256"/>
      <c r="M169" s="1284"/>
      <c r="N169" s="1279"/>
      <c r="O169" s="595"/>
      <c r="P169" s="599"/>
      <c r="AA169" s="360" t="str">
        <f>Kriterien!R85</f>
        <v>Es besteht ein Data-Backup- und ein Alarmaufzeichnungssystem der Monitordaten.</v>
      </c>
      <c r="AB169" s="361" t="str">
        <f>Kriterien!S85</f>
        <v>Il existe un système qui enregistre les alarmes et sauvegarde les données de monitorage.</v>
      </c>
      <c r="AC169" s="364" t="str">
        <f t="shared" si="31"/>
        <v>Es besteht ein Data-Backup- und ein Alarmaufzeichnungssystem der Monitordaten.</v>
      </c>
      <c r="AD169" s="673" t="str">
        <f>Kriterien!U85</f>
        <v>Visitation, Dokumentation</v>
      </c>
      <c r="AE169" s="622" t="str">
        <f>Kriterien!V85</f>
        <v>Visite, documentation</v>
      </c>
      <c r="AF169" s="623" t="str">
        <f t="shared" si="32"/>
        <v>Visitation, Dokumentation</v>
      </c>
    </row>
    <row r="170" spans="1:32" s="116" customFormat="1" ht="40" customHeight="1">
      <c r="A170" s="305">
        <f>'2 Autodeklaration'!A83</f>
        <v>0</v>
      </c>
      <c r="B170" s="306"/>
      <c r="C170" s="299"/>
      <c r="D170" s="433"/>
      <c r="E170" s="581" t="s">
        <v>209</v>
      </c>
      <c r="F170" s="122" t="str">
        <f t="shared" si="26"/>
        <v xml:space="preserve">Das Personal muss sicherstellen, dass jederzeit Sichtkontakt zu den Patienten besteht. </v>
      </c>
      <c r="G170" s="545" t="str">
        <f t="shared" si="30"/>
        <v>Visitation</v>
      </c>
      <c r="H170" s="566" t="str">
        <f>IF('2 Autodeklaration'!F83=0,"",'2 Autodeklaration'!F83)</f>
        <v/>
      </c>
      <c r="I170" s="567"/>
      <c r="J170" s="688"/>
      <c r="K170" s="725" t="str">
        <f t="shared" si="27"/>
        <v xml:space="preserve">Das Personal muss sicherstellen, dass jederzeit Sichtkontakt zu den Patienten besteht. </v>
      </c>
      <c r="L170" s="1256"/>
      <c r="M170" s="1284"/>
      <c r="N170" s="1279"/>
      <c r="O170" s="595"/>
      <c r="P170" s="599"/>
      <c r="AA170" s="360" t="str">
        <f>Kriterien!R86</f>
        <v xml:space="preserve">Das Personal muss sicherstellen, dass jederzeit Sichtkontakt zu den Patienten besteht. </v>
      </c>
      <c r="AB170" s="361" t="str">
        <f>Kriterien!S86</f>
        <v xml:space="preserve">Le personnel doit s'assurer que le contact visuel avec le patient est garanti en permanence. </v>
      </c>
      <c r="AC170" s="364" t="str">
        <f t="shared" si="31"/>
        <v xml:space="preserve">Das Personal muss sicherstellen, dass jederzeit Sichtkontakt zu den Patienten besteht. </v>
      </c>
      <c r="AD170" s="673" t="str">
        <f>Kriterien!U86</f>
        <v>Visitation</v>
      </c>
      <c r="AE170" s="622" t="str">
        <f>Kriterien!V86</f>
        <v>Visite</v>
      </c>
      <c r="AF170" s="623" t="str">
        <f t="shared" si="32"/>
        <v>Visitation</v>
      </c>
    </row>
    <row r="171" spans="1:32" s="116" customFormat="1" ht="73" customHeight="1">
      <c r="A171" s="305"/>
      <c r="B171" s="306">
        <f>'2 Autodeklaration'!B84</f>
        <v>0</v>
      </c>
      <c r="C171" s="2157"/>
      <c r="D171" s="300"/>
      <c r="E171" s="581" t="s">
        <v>210</v>
      </c>
      <c r="F171" s="122" t="str">
        <f t="shared" si="26"/>
        <v>Ein Dokument regelt die Anwesenheitspflicht bei den nicht einsehbaren Patienten, oder es ist eine Videoüberwachung installiert mit schriftlichen Verantwortungsregeln für die Überwachung des Bildschirms.</v>
      </c>
      <c r="G171" s="545" t="str">
        <f t="shared" si="30"/>
        <v>Visitation, Dokumentation</v>
      </c>
      <c r="H171" s="566" t="str">
        <f>IF('2 Autodeklaration'!F84=0,"",'2 Autodeklaration'!F84)</f>
        <v/>
      </c>
      <c r="I171" s="567"/>
      <c r="J171" s="688"/>
      <c r="K171" s="725" t="str">
        <f t="shared" si="27"/>
        <v>Ein Dokument regelt die Anwesenheitspflicht bei den nicht einsehbaren Patienten, oder es ist eine Videoüberwachung installiert mit schriftlichen Verantwortungsregeln für die Überwachung des Bildschirms.</v>
      </c>
      <c r="L171" s="1256"/>
      <c r="M171" s="1284"/>
      <c r="N171" s="1279"/>
      <c r="O171" s="595"/>
      <c r="P171" s="599"/>
      <c r="AA171" s="360" t="str">
        <f>Kriterien!R87</f>
        <v>Ein Dokument regelt die Anwesenheitspflicht bei den nicht einsehbaren Patienten, oder es ist eine Videoüberwachung installiert mit schriftlichen Verantwortungsregeln für die Überwachung des Bildschirms.</v>
      </c>
      <c r="AB171" s="361" t="str">
        <f>Kriterien!S87</f>
        <v>Un document régit les obligations en matière de présence auprès des patients non visibles, ou un système de vidéosurveillance est installé et soumis à des règles écrites de responsabilité quant à la surveillance de l'écran.</v>
      </c>
      <c r="AC171" s="364" t="str">
        <f t="shared" si="31"/>
        <v>Ein Dokument regelt die Anwesenheitspflicht bei den nicht einsehbaren Patienten, oder es ist eine Videoüberwachung installiert mit schriftlichen Verantwortungsregeln für die Überwachung des Bildschirms.</v>
      </c>
      <c r="AD171" s="673" t="str">
        <f>Kriterien!U87</f>
        <v>Visitation, Dokumentation</v>
      </c>
      <c r="AE171" s="622" t="str">
        <f>Kriterien!V87</f>
        <v>Visite, documentation</v>
      </c>
      <c r="AF171" s="623" t="str">
        <f t="shared" si="32"/>
        <v>Visitation, Dokumentation</v>
      </c>
    </row>
    <row r="172" spans="1:32" s="116" customFormat="1" ht="40" customHeight="1">
      <c r="A172" s="305"/>
      <c r="B172" s="306"/>
      <c r="C172" s="2157"/>
      <c r="D172" s="433"/>
      <c r="E172" s="581" t="s">
        <v>66</v>
      </c>
      <c r="F172" s="125" t="str">
        <f t="shared" ref="F172:F235" si="34">AC172</f>
        <v>Einrichtungen und Nebenräume (Grösse und Umfang abhängig von der Grösse der Station)</v>
      </c>
      <c r="G172" s="548" t="str">
        <f t="shared" si="30"/>
        <v/>
      </c>
      <c r="H172" s="566" t="str">
        <f>IF('2 Autodeklaration'!F85=0,"",'2 Autodeklaration'!F85)</f>
        <v/>
      </c>
      <c r="I172" s="567"/>
      <c r="J172" s="688"/>
      <c r="K172" s="731" t="str">
        <f t="shared" si="27"/>
        <v>Einrichtungen und Nebenräume (Grösse und Umfang abhängig von der Grösse der Station)</v>
      </c>
      <c r="L172" s="1256"/>
      <c r="M172" s="1284"/>
      <c r="N172" s="1279"/>
      <c r="O172" s="595"/>
      <c r="P172" s="599"/>
      <c r="AA172" s="360" t="str">
        <f>Kriterien!R88</f>
        <v>Einrichtungen und Nebenräume (Grösse und Umfang abhängig von der Grösse der Station)</v>
      </c>
      <c r="AB172" s="361" t="str">
        <f>Kriterien!S88</f>
        <v>Équipements et locaux annexes (taille et étendue en fonction de la taille de l'Unité)</v>
      </c>
      <c r="AC172" s="364" t="str">
        <f t="shared" si="31"/>
        <v>Einrichtungen und Nebenräume (Grösse und Umfang abhängig von der Grösse der Station)</v>
      </c>
      <c r="AD172" s="673">
        <f>Kriterien!U88</f>
        <v>0</v>
      </c>
      <c r="AE172" s="622">
        <f>Kriterien!V88</f>
        <v>0</v>
      </c>
      <c r="AF172" s="623" t="str">
        <f t="shared" si="32"/>
        <v/>
      </c>
    </row>
    <row r="173" spans="1:32" s="116" customFormat="1" ht="40" customHeight="1">
      <c r="A173" s="305">
        <f>'2 Autodeklaration'!A86</f>
        <v>0</v>
      </c>
      <c r="B173" s="306"/>
      <c r="C173" s="299"/>
      <c r="D173" s="433"/>
      <c r="E173" s="581" t="s">
        <v>211</v>
      </c>
      <c r="F173" s="122" t="str">
        <f t="shared" si="34"/>
        <v>Medikamentenaufbewahrungs- und Lagersysteme</v>
      </c>
      <c r="G173" s="544" t="str">
        <f t="shared" si="30"/>
        <v>Pläne, Dokumentation, Visitation</v>
      </c>
      <c r="H173" s="566" t="str">
        <f>IF('2 Autodeklaration'!F86=0,"",'2 Autodeklaration'!F86)</f>
        <v/>
      </c>
      <c r="I173" s="567"/>
      <c r="J173" s="688"/>
      <c r="K173" s="725" t="str">
        <f t="shared" ref="K173:K236" si="35">F173</f>
        <v>Medikamentenaufbewahrungs- und Lagersysteme</v>
      </c>
      <c r="L173" s="1256"/>
      <c r="M173" s="1284"/>
      <c r="N173" s="1279"/>
      <c r="O173" s="595"/>
      <c r="P173" s="599"/>
      <c r="AA173" s="360" t="str">
        <f>Kriterien!R89</f>
        <v>Medikamentenaufbewahrungs- und Lagersysteme</v>
      </c>
      <c r="AB173" s="361" t="str">
        <f>Kriterien!S89</f>
        <v>Systèmes d'entreposage des médicaments et stocks</v>
      </c>
      <c r="AC173" s="364" t="str">
        <f t="shared" si="31"/>
        <v>Medikamentenaufbewahrungs- und Lagersysteme</v>
      </c>
      <c r="AD173" s="673" t="str">
        <f>Kriterien!U89</f>
        <v>Pläne, Dokumentation, Visitation</v>
      </c>
      <c r="AE173" s="622" t="str">
        <f>Kriterien!V89</f>
        <v>Plans, documentation, visite</v>
      </c>
      <c r="AF173" s="623" t="str">
        <f t="shared" si="32"/>
        <v>Pläne, Dokumentation, Visitation</v>
      </c>
    </row>
    <row r="174" spans="1:32" s="116" customFormat="1" ht="40" customHeight="1">
      <c r="A174" s="305">
        <f>'2 Autodeklaration'!A87</f>
        <v>0</v>
      </c>
      <c r="B174" s="306"/>
      <c r="C174" s="299"/>
      <c r="D174" s="433"/>
      <c r="E174" s="581" t="s">
        <v>212</v>
      </c>
      <c r="F174" s="122" t="str">
        <f t="shared" si="34"/>
        <v>Kühlschränke für Medikamente und Blutprodukte</v>
      </c>
      <c r="G174" s="544" t="str">
        <f t="shared" si="30"/>
        <v>Pläne, Dokumentation, Visitation</v>
      </c>
      <c r="H174" s="566" t="str">
        <f>IF('2 Autodeklaration'!F87=0,"",'2 Autodeklaration'!F87)</f>
        <v/>
      </c>
      <c r="I174" s="567"/>
      <c r="J174" s="688"/>
      <c r="K174" s="725" t="str">
        <f t="shared" si="35"/>
        <v>Kühlschränke für Medikamente und Blutprodukte</v>
      </c>
      <c r="L174" s="1256"/>
      <c r="M174" s="1284"/>
      <c r="N174" s="1279"/>
      <c r="O174" s="595"/>
      <c r="P174" s="599"/>
      <c r="AA174" s="360" t="str">
        <f>Kriterien!R90</f>
        <v>Kühlschränke für Medikamente und Blutprodukte</v>
      </c>
      <c r="AB174" s="361" t="str">
        <f>Kriterien!S90</f>
        <v>Armoires frigorifiques pour les médicaments et produits sanguins</v>
      </c>
      <c r="AC174" s="364" t="str">
        <f t="shared" si="31"/>
        <v>Kühlschränke für Medikamente und Blutprodukte</v>
      </c>
      <c r="AD174" s="673" t="str">
        <f>Kriterien!U90</f>
        <v>Pläne, Dokumentation, Visitation</v>
      </c>
      <c r="AE174" s="622" t="str">
        <f>Kriterien!V90</f>
        <v>Plans, documentation, visite</v>
      </c>
      <c r="AF174" s="623" t="str">
        <f t="shared" si="32"/>
        <v>Pläne, Dokumentation, Visitation</v>
      </c>
    </row>
    <row r="175" spans="1:32" s="116" customFormat="1" ht="40" customHeight="1">
      <c r="A175" s="305">
        <f>'2 Autodeklaration'!A88</f>
        <v>0</v>
      </c>
      <c r="B175" s="306"/>
      <c r="C175" s="299"/>
      <c r="D175" s="433"/>
      <c r="E175" s="581" t="s">
        <v>213</v>
      </c>
      <c r="F175" s="122" t="str">
        <f t="shared" si="34"/>
        <v>Infusionslager</v>
      </c>
      <c r="G175" s="544" t="str">
        <f t="shared" si="30"/>
        <v>Pläne, Dokumentation, Visitation</v>
      </c>
      <c r="H175" s="566" t="str">
        <f>IF('2 Autodeklaration'!F88=0,"",'2 Autodeklaration'!F88)</f>
        <v/>
      </c>
      <c r="I175" s="567"/>
      <c r="J175" s="688"/>
      <c r="K175" s="725" t="str">
        <f t="shared" si="35"/>
        <v>Infusionslager</v>
      </c>
      <c r="L175" s="1256"/>
      <c r="M175" s="1284"/>
      <c r="N175" s="1279"/>
      <c r="O175" s="595"/>
      <c r="P175" s="599"/>
      <c r="AA175" s="360" t="str">
        <f>Kriterien!R91</f>
        <v>Infusionslager</v>
      </c>
      <c r="AB175" s="361" t="str">
        <f>Kriterien!S91</f>
        <v>Stock de perfusions</v>
      </c>
      <c r="AC175" s="364" t="str">
        <f t="shared" si="31"/>
        <v>Infusionslager</v>
      </c>
      <c r="AD175" s="673" t="str">
        <f>Kriterien!U91</f>
        <v>Pläne, Dokumentation, Visitation</v>
      </c>
      <c r="AE175" s="622" t="str">
        <f>Kriterien!V91</f>
        <v>Plans, documentation, visite</v>
      </c>
      <c r="AF175" s="623" t="str">
        <f t="shared" si="32"/>
        <v>Pläne, Dokumentation, Visitation</v>
      </c>
    </row>
    <row r="176" spans="1:32" s="116" customFormat="1" ht="40" customHeight="1">
      <c r="A176" s="305">
        <f>'2 Autodeklaration'!A89</f>
        <v>0</v>
      </c>
      <c r="B176" s="306"/>
      <c r="C176" s="299"/>
      <c r="D176" s="433"/>
      <c r="E176" s="581" t="s">
        <v>214</v>
      </c>
      <c r="F176" s="122" t="str">
        <f t="shared" si="34"/>
        <v>Vorbereitungseinrichtungen und -plätze für Medikamente, Infusionen und Perfusoren</v>
      </c>
      <c r="G176" s="544" t="str">
        <f t="shared" si="30"/>
        <v>Pläne, Dokumentation, Visitation</v>
      </c>
      <c r="H176" s="566" t="str">
        <f>IF('2 Autodeklaration'!F89=0,"",'2 Autodeklaration'!F89)</f>
        <v/>
      </c>
      <c r="I176" s="567"/>
      <c r="J176" s="688"/>
      <c r="K176" s="725" t="str">
        <f t="shared" si="35"/>
        <v>Vorbereitungseinrichtungen und -plätze für Medikamente, Infusionen und Perfusoren</v>
      </c>
      <c r="L176" s="1256"/>
      <c r="M176" s="1284"/>
      <c r="N176" s="1279"/>
      <c r="O176" s="595"/>
      <c r="P176" s="599"/>
      <c r="AA176" s="360" t="str">
        <f>Kriterien!R92</f>
        <v>Vorbereitungseinrichtungen und -plätze für Medikamente, Infusionen und Perfusoren</v>
      </c>
      <c r="AB176" s="361" t="str">
        <f>Kriterien!S92</f>
        <v xml:space="preserve">Lieux et équipements destinés à la préparation de médicaments, pousse-seringues et perfusions </v>
      </c>
      <c r="AC176" s="364" t="str">
        <f t="shared" si="31"/>
        <v>Vorbereitungseinrichtungen und -plätze für Medikamente, Infusionen und Perfusoren</v>
      </c>
      <c r="AD176" s="673" t="str">
        <f>Kriterien!U92</f>
        <v>Pläne, Dokumentation, Visitation</v>
      </c>
      <c r="AE176" s="622" t="str">
        <f>Kriterien!V92</f>
        <v>Plans, documentation, visite</v>
      </c>
      <c r="AF176" s="623" t="str">
        <f t="shared" si="32"/>
        <v>Pläne, Dokumentation, Visitation</v>
      </c>
    </row>
    <row r="177" spans="1:32" s="116" customFormat="1" ht="40" customHeight="1">
      <c r="A177" s="305">
        <f>'2 Autodeklaration'!A90</f>
        <v>0</v>
      </c>
      <c r="B177" s="306"/>
      <c r="C177" s="299"/>
      <c r="D177" s="433"/>
      <c r="E177" s="581" t="s">
        <v>215</v>
      </c>
      <c r="F177" s="122" t="str">
        <f t="shared" si="34"/>
        <v>Lavabos</v>
      </c>
      <c r="G177" s="544" t="str">
        <f t="shared" si="30"/>
        <v>Pläne, Dokumentation, Visitation</v>
      </c>
      <c r="H177" s="566" t="str">
        <f>IF('2 Autodeklaration'!F90=0,"",'2 Autodeklaration'!F90)</f>
        <v/>
      </c>
      <c r="I177" s="567"/>
      <c r="J177" s="688"/>
      <c r="K177" s="725" t="str">
        <f t="shared" si="35"/>
        <v>Lavabos</v>
      </c>
      <c r="L177" s="1256"/>
      <c r="M177" s="1284"/>
      <c r="N177" s="1279"/>
      <c r="O177" s="595"/>
      <c r="P177" s="599"/>
      <c r="AA177" s="360" t="str">
        <f>Kriterien!R93</f>
        <v>Lavabos</v>
      </c>
      <c r="AB177" s="361" t="str">
        <f>Kriterien!S93</f>
        <v>Lavabos</v>
      </c>
      <c r="AC177" s="364" t="str">
        <f t="shared" si="31"/>
        <v>Lavabos</v>
      </c>
      <c r="AD177" s="673" t="str">
        <f>Kriterien!U93</f>
        <v>Pläne, Dokumentation, Visitation</v>
      </c>
      <c r="AE177" s="622" t="str">
        <f>Kriterien!V93</f>
        <v>Plans, documentation, visite</v>
      </c>
      <c r="AF177" s="623" t="str">
        <f t="shared" si="32"/>
        <v>Pläne, Dokumentation, Visitation</v>
      </c>
    </row>
    <row r="178" spans="1:32" s="116" customFormat="1" ht="40" customHeight="1">
      <c r="A178" s="305">
        <f>'2 Autodeklaration'!A91</f>
        <v>0</v>
      </c>
      <c r="B178" s="306"/>
      <c r="C178" s="299"/>
      <c r="D178" s="433"/>
      <c r="E178" s="581" t="s">
        <v>216</v>
      </c>
      <c r="F178" s="122" t="str">
        <f t="shared" si="34"/>
        <v>Betrachtungsmöglichkeiten für Bilddokumente</v>
      </c>
      <c r="G178" s="544" t="str">
        <f t="shared" si="30"/>
        <v>Pläne, Dokumentation, Visitation</v>
      </c>
      <c r="H178" s="566" t="str">
        <f>IF('2 Autodeklaration'!F91=0,"",'2 Autodeklaration'!F91)</f>
        <v/>
      </c>
      <c r="I178" s="567"/>
      <c r="J178" s="688"/>
      <c r="K178" s="725" t="str">
        <f t="shared" si="35"/>
        <v>Betrachtungsmöglichkeiten für Bilddokumente</v>
      </c>
      <c r="L178" s="1256"/>
      <c r="M178" s="1284"/>
      <c r="N178" s="1279"/>
      <c r="O178" s="595"/>
      <c r="P178" s="599"/>
      <c r="AA178" s="360" t="str">
        <f>Kriterien!R94</f>
        <v>Betrachtungsmöglichkeiten für Bilddokumente</v>
      </c>
      <c r="AB178" s="361" t="str">
        <f>Kriterien!S94</f>
        <v>Équipements permettant de consulter les examens radiologiques</v>
      </c>
      <c r="AC178" s="364" t="str">
        <f t="shared" si="31"/>
        <v>Betrachtungsmöglichkeiten für Bilddokumente</v>
      </c>
      <c r="AD178" s="673" t="str">
        <f>Kriterien!U94</f>
        <v>Pläne, Dokumentation, Visitation</v>
      </c>
      <c r="AE178" s="622" t="str">
        <f>Kriterien!V94</f>
        <v>Plans, documentation, visite</v>
      </c>
      <c r="AF178" s="623" t="str">
        <f t="shared" si="32"/>
        <v>Pläne, Dokumentation, Visitation</v>
      </c>
    </row>
    <row r="179" spans="1:32" s="116" customFormat="1" ht="40" customHeight="1">
      <c r="A179" s="305">
        <f>'2 Autodeklaration'!A92</f>
        <v>0</v>
      </c>
      <c r="B179" s="306"/>
      <c r="C179" s="299"/>
      <c r="D179" s="433"/>
      <c r="E179" s="581" t="s">
        <v>217</v>
      </c>
      <c r="F179" s="122" t="str">
        <f t="shared" si="34"/>
        <v>Material- und Geräteräume angepasst an die Grösse der Station</v>
      </c>
      <c r="G179" s="544" t="str">
        <f t="shared" si="30"/>
        <v>Pläne, Dokumentation, Visitation</v>
      </c>
      <c r="H179" s="566" t="str">
        <f>IF('2 Autodeklaration'!F92=0,"",'2 Autodeklaration'!F92)</f>
        <v/>
      </c>
      <c r="I179" s="567"/>
      <c r="J179" s="688"/>
      <c r="K179" s="725" t="str">
        <f t="shared" si="35"/>
        <v>Material- und Geräteräume angepasst an die Grösse der Station</v>
      </c>
      <c r="L179" s="1256"/>
      <c r="M179" s="1284"/>
      <c r="N179" s="1279"/>
      <c r="O179" s="595"/>
      <c r="P179" s="599"/>
      <c r="AA179" s="360" t="str">
        <f>Kriterien!R95</f>
        <v>Material- und Geräteräume angepasst an die Grösse der Station</v>
      </c>
      <c r="AB179" s="361" t="str">
        <f>Kriterien!S95</f>
        <v>Pièces destinées au matériel et aux appareils, adaptées à la taille de l'Unité</v>
      </c>
      <c r="AC179" s="364" t="str">
        <f t="shared" si="31"/>
        <v>Material- und Geräteräume angepasst an die Grösse der Station</v>
      </c>
      <c r="AD179" s="673" t="str">
        <f>Kriterien!U95</f>
        <v>Pläne, Dokumentation, Visitation</v>
      </c>
      <c r="AE179" s="622" t="str">
        <f>Kriterien!V95</f>
        <v>Plans, documentation, visite</v>
      </c>
      <c r="AF179" s="623" t="str">
        <f t="shared" si="32"/>
        <v>Pläne, Dokumentation, Visitation</v>
      </c>
    </row>
    <row r="180" spans="1:32" s="116" customFormat="1" ht="40" customHeight="1" thickBot="1">
      <c r="A180" s="305">
        <f>'2 Autodeklaration'!A93</f>
        <v>0</v>
      </c>
      <c r="B180" s="306"/>
      <c r="C180" s="299"/>
      <c r="D180" s="433"/>
      <c r="E180" s="581" t="s">
        <v>218</v>
      </c>
      <c r="F180" s="122" t="str">
        <f t="shared" si="34"/>
        <v>Arztbüro</v>
      </c>
      <c r="G180" s="544" t="str">
        <f t="shared" si="30"/>
        <v>Pläne, Dokumentation, Visitation</v>
      </c>
      <c r="H180" s="566" t="str">
        <f>IF('2 Autodeklaration'!F93=0,"",'2 Autodeklaration'!F93)</f>
        <v/>
      </c>
      <c r="I180" s="567"/>
      <c r="J180" s="689"/>
      <c r="K180" s="725" t="str">
        <f t="shared" si="35"/>
        <v>Arztbüro</v>
      </c>
      <c r="L180" s="1260"/>
      <c r="M180" s="1284"/>
      <c r="N180" s="1279"/>
      <c r="O180" s="595"/>
      <c r="P180" s="599"/>
      <c r="AA180" s="360" t="str">
        <f>Kriterien!R96</f>
        <v>Arztbüro</v>
      </c>
      <c r="AB180" s="361" t="str">
        <f>Kriterien!S96</f>
        <v>Bureau médical</v>
      </c>
      <c r="AC180" s="364" t="str">
        <f t="shared" si="31"/>
        <v>Arztbüro</v>
      </c>
      <c r="AD180" s="673" t="str">
        <f>Kriterien!U96</f>
        <v>Pläne, Dokumentation, Visitation</v>
      </c>
      <c r="AE180" s="622" t="str">
        <f>Kriterien!V96</f>
        <v>Plans, documentation, visite</v>
      </c>
      <c r="AF180" s="623" t="str">
        <f t="shared" si="32"/>
        <v>Pläne, Dokumentation, Visitation</v>
      </c>
    </row>
    <row r="181" spans="1:32" s="116" customFormat="1" ht="40" customHeight="1">
      <c r="A181" s="305">
        <f>'2 Autodeklaration'!A94</f>
        <v>0</v>
      </c>
      <c r="B181" s="306"/>
      <c r="C181" s="299"/>
      <c r="D181" s="433"/>
      <c r="E181" s="581" t="s">
        <v>219</v>
      </c>
      <c r="F181" s="122" t="str">
        <f t="shared" si="34"/>
        <v>Pflegebüro</v>
      </c>
      <c r="G181" s="544" t="str">
        <f t="shared" si="30"/>
        <v>Pläne, Dokumentation, Visitation</v>
      </c>
      <c r="H181" s="566" t="str">
        <f>IF('2 Autodeklaration'!F94=0,"",'2 Autodeklaration'!F94)</f>
        <v/>
      </c>
      <c r="I181" s="567"/>
      <c r="J181" s="683"/>
      <c r="K181" s="725" t="str">
        <f t="shared" si="35"/>
        <v>Pflegebüro</v>
      </c>
      <c r="L181" s="1261" t="str">
        <f>AF100&amp;E132&amp;". 
"&amp;F132</f>
        <v>Abschliessender Kommentar Kapitel 2. 
Räumliche/architektonische Anforderungen</v>
      </c>
      <c r="M181" s="1284"/>
      <c r="N181" s="1279"/>
      <c r="O181" s="595"/>
      <c r="P181" s="599"/>
      <c r="AA181" s="360" t="str">
        <f>Kriterien!R97</f>
        <v>Pflegebüro</v>
      </c>
      <c r="AB181" s="361" t="str">
        <f>Kriterien!S97</f>
        <v>Bureau infirmier</v>
      </c>
      <c r="AC181" s="364" t="str">
        <f t="shared" si="31"/>
        <v>Pflegebüro</v>
      </c>
      <c r="AD181" s="673" t="str">
        <f>Kriterien!U97</f>
        <v>Pläne, Dokumentation, Visitation</v>
      </c>
      <c r="AE181" s="622" t="str">
        <f>Kriterien!V97</f>
        <v>Plans, documentation, visite</v>
      </c>
      <c r="AF181" s="623" t="str">
        <f t="shared" si="32"/>
        <v>Pläne, Dokumentation, Visitation</v>
      </c>
    </row>
    <row r="182" spans="1:32" s="116" customFormat="1" ht="40" customHeight="1">
      <c r="A182" s="305">
        <f>'2 Autodeklaration'!A95</f>
        <v>0</v>
      </c>
      <c r="B182" s="306"/>
      <c r="C182" s="299"/>
      <c r="D182" s="433"/>
      <c r="E182" s="581" t="s">
        <v>220</v>
      </c>
      <c r="F182" s="122" t="str">
        <f t="shared" si="34"/>
        <v>Toiletten</v>
      </c>
      <c r="G182" s="544" t="str">
        <f t="shared" si="30"/>
        <v>Pläne, Dokumentation, Visitation</v>
      </c>
      <c r="H182" s="566" t="str">
        <f>IF('2 Autodeklaration'!F95=0,"",'2 Autodeklaration'!F95)</f>
        <v/>
      </c>
      <c r="I182" s="567"/>
      <c r="J182" s="652"/>
      <c r="K182" s="725" t="str">
        <f t="shared" si="35"/>
        <v>Toiletten</v>
      </c>
      <c r="L182" s="2247"/>
      <c r="M182" s="1284"/>
      <c r="N182" s="1279"/>
      <c r="O182" s="595"/>
      <c r="P182" s="599"/>
      <c r="AA182" s="360" t="str">
        <f>Kriterien!R98</f>
        <v>Toiletten</v>
      </c>
      <c r="AB182" s="361" t="str">
        <f>Kriterien!S98</f>
        <v>Toilettes</v>
      </c>
      <c r="AC182" s="364" t="str">
        <f t="shared" si="31"/>
        <v>Toiletten</v>
      </c>
      <c r="AD182" s="673" t="str">
        <f>Kriterien!U98</f>
        <v>Pläne, Dokumentation, Visitation</v>
      </c>
      <c r="AE182" s="622" t="str">
        <f>Kriterien!V98</f>
        <v>Plans, documentation, visite</v>
      </c>
      <c r="AF182" s="623" t="str">
        <f t="shared" si="32"/>
        <v>Pläne, Dokumentation, Visitation</v>
      </c>
    </row>
    <row r="183" spans="1:32" s="116" customFormat="1" ht="40" customHeight="1">
      <c r="A183" s="305">
        <f>'2 Autodeklaration'!A96</f>
        <v>0</v>
      </c>
      <c r="B183" s="306"/>
      <c r="C183" s="299"/>
      <c r="D183" s="433"/>
      <c r="E183" s="581" t="s">
        <v>221</v>
      </c>
      <c r="F183" s="122" t="str">
        <f t="shared" si="34"/>
        <v>Ausguss/güsse: abgetrennte Räumlichkeit ohne Durchgangsverkehr</v>
      </c>
      <c r="G183" s="544" t="str">
        <f t="shared" si="30"/>
        <v>Pläne, Dokumentation, Visitation</v>
      </c>
      <c r="H183" s="566" t="str">
        <f>IF('2 Autodeklaration'!F96=0,"",'2 Autodeklaration'!F96)</f>
        <v/>
      </c>
      <c r="I183" s="567"/>
      <c r="J183" s="652"/>
      <c r="K183" s="725" t="str">
        <f t="shared" si="35"/>
        <v>Ausguss/güsse: abgetrennte Räumlichkeit ohne Durchgangsverkehr</v>
      </c>
      <c r="L183" s="2247"/>
      <c r="M183" s="1284"/>
      <c r="N183" s="1279"/>
      <c r="O183" s="595"/>
      <c r="P183" s="599"/>
      <c r="AA183" s="360" t="str">
        <f>Kriterien!R99</f>
        <v>Ausguss/güsse: abgetrennte Räumlichkeit ohne Durchgangsverkehr</v>
      </c>
      <c r="AB183" s="361" t="str">
        <f>Kriterien!S99</f>
        <v>Vidoir: local distinct ne permettant pas le passage</v>
      </c>
      <c r="AC183" s="364" t="str">
        <f t="shared" si="31"/>
        <v>Ausguss/güsse: abgetrennte Räumlichkeit ohne Durchgangsverkehr</v>
      </c>
      <c r="AD183" s="673" t="str">
        <f>Kriterien!U99</f>
        <v>Pläne, Dokumentation, Visitation</v>
      </c>
      <c r="AE183" s="622" t="str">
        <f>Kriterien!V99</f>
        <v>Plans, documentation, visite</v>
      </c>
      <c r="AF183" s="623" t="str">
        <f t="shared" si="32"/>
        <v>Pläne, Dokumentation, Visitation</v>
      </c>
    </row>
    <row r="184" spans="1:32" s="116" customFormat="1" ht="40" customHeight="1">
      <c r="A184" s="305">
        <f>'2 Autodeklaration'!A97</f>
        <v>0</v>
      </c>
      <c r="B184" s="306"/>
      <c r="C184" s="299"/>
      <c r="D184" s="433"/>
      <c r="E184" s="581" t="s">
        <v>222</v>
      </c>
      <c r="F184" s="122" t="str">
        <f t="shared" si="34"/>
        <v>Besprechungsraum</v>
      </c>
      <c r="G184" s="544" t="str">
        <f t="shared" si="30"/>
        <v>Pläne, Dokumentation, Visitation</v>
      </c>
      <c r="H184" s="566" t="str">
        <f>IF('2 Autodeklaration'!F97=0,"",'2 Autodeklaration'!F97)</f>
        <v/>
      </c>
      <c r="I184" s="567"/>
      <c r="J184" s="652"/>
      <c r="K184" s="725" t="str">
        <f t="shared" si="35"/>
        <v>Besprechungsraum</v>
      </c>
      <c r="L184" s="2247"/>
      <c r="M184" s="1284"/>
      <c r="N184" s="1279"/>
      <c r="O184" s="595"/>
      <c r="P184" s="599"/>
      <c r="AA184" s="360" t="str">
        <f>Kriterien!R100</f>
        <v>Besprechungsraum</v>
      </c>
      <c r="AB184" s="361" t="str">
        <f>Kriterien!S100</f>
        <v>Salle de réunion</v>
      </c>
      <c r="AC184" s="364" t="str">
        <f t="shared" si="31"/>
        <v>Besprechungsraum</v>
      </c>
      <c r="AD184" s="673" t="str">
        <f>Kriterien!U100</f>
        <v>Pläne, Dokumentation, Visitation</v>
      </c>
      <c r="AE184" s="622" t="str">
        <f>Kriterien!V100</f>
        <v>Plans, documentation, visite</v>
      </c>
      <c r="AF184" s="623" t="str">
        <f t="shared" si="32"/>
        <v>Pläne, Dokumentation, Visitation</v>
      </c>
    </row>
    <row r="185" spans="1:32" s="116" customFormat="1" ht="40" customHeight="1">
      <c r="A185" s="305">
        <f>'2 Autodeklaration'!A98</f>
        <v>0</v>
      </c>
      <c r="B185" s="306"/>
      <c r="C185" s="299"/>
      <c r="D185" s="433"/>
      <c r="E185" s="581" t="s">
        <v>223</v>
      </c>
      <c r="F185" s="122" t="str">
        <f t="shared" si="34"/>
        <v>Wartezimmer /-zone beim Eingang für Besucher (Anzahl Sitzplätze = maximale Bettenzahl / 2 + 2)</v>
      </c>
      <c r="G185" s="544" t="str">
        <f t="shared" si="30"/>
        <v>Pläne, Dokumentation, Visitation</v>
      </c>
      <c r="H185" s="566" t="str">
        <f>IF('2 Autodeklaration'!F98=0,"",'2 Autodeklaration'!F98)</f>
        <v/>
      </c>
      <c r="I185" s="567"/>
      <c r="J185" s="652"/>
      <c r="K185" s="725" t="str">
        <f t="shared" si="35"/>
        <v>Wartezimmer /-zone beim Eingang für Besucher (Anzahl Sitzplätze = maximale Bettenzahl / 2 + 2)</v>
      </c>
      <c r="L185" s="2247"/>
      <c r="M185" s="1284"/>
      <c r="N185" s="1279"/>
      <c r="O185" s="595"/>
      <c r="P185" s="599"/>
      <c r="AA185" s="360" t="str">
        <f>Kriterien!R101</f>
        <v>Wartezimmer /-zone beim Eingang für Besucher (Anzahl Sitzplätze = maximale Bettenzahl / 2 + 2)</v>
      </c>
      <c r="AB185" s="361" t="str">
        <f>Kriterien!S101</f>
        <v>Salle/zone d'attente au niveau de l'entrée des visiteurs (nombre de places assises = nombre maximum de lits/2 + 2)</v>
      </c>
      <c r="AC185" s="364" t="str">
        <f t="shared" si="31"/>
        <v>Wartezimmer /-zone beim Eingang für Besucher (Anzahl Sitzplätze = maximale Bettenzahl / 2 + 2)</v>
      </c>
      <c r="AD185" s="673" t="str">
        <f>Kriterien!U101</f>
        <v>Pläne, Dokumentation, Visitation</v>
      </c>
      <c r="AE185" s="622" t="str">
        <f>Kriterien!V101</f>
        <v>Plans, documentation, visite</v>
      </c>
      <c r="AF185" s="623" t="str">
        <f t="shared" si="32"/>
        <v>Pläne, Dokumentation, Visitation</v>
      </c>
    </row>
    <row r="186" spans="1:32" s="116" customFormat="1" ht="40" customHeight="1">
      <c r="A186" s="305">
        <f>'2 Autodeklaration'!A99</f>
        <v>0</v>
      </c>
      <c r="B186" s="306"/>
      <c r="C186" s="299"/>
      <c r="D186" s="433"/>
      <c r="E186" s="581" t="s">
        <v>224</v>
      </c>
      <c r="F186" s="126" t="str">
        <f t="shared" si="34"/>
        <v>Aufenthaltsraum für Personal</v>
      </c>
      <c r="G186" s="544" t="str">
        <f t="shared" si="30"/>
        <v>Pläne, Dokumentation, Visitation</v>
      </c>
      <c r="H186" s="566" t="str">
        <f>IF('2 Autodeklaration'!F99=0,"",'2 Autodeklaration'!F99)</f>
        <v/>
      </c>
      <c r="I186" s="567"/>
      <c r="J186" s="652"/>
      <c r="K186" s="733" t="str">
        <f t="shared" si="35"/>
        <v>Aufenthaltsraum für Personal</v>
      </c>
      <c r="L186" s="2247"/>
      <c r="M186" s="1284"/>
      <c r="N186" s="1279"/>
      <c r="O186" s="595"/>
      <c r="P186" s="599"/>
      <c r="AA186" s="360" t="str">
        <f>Kriterien!R102</f>
        <v>Aufenthaltsraum für Personal</v>
      </c>
      <c r="AB186" s="361" t="str">
        <f>Kriterien!S102</f>
        <v>Salle de repos pour le personnel</v>
      </c>
      <c r="AC186" s="364" t="str">
        <f t="shared" si="31"/>
        <v>Aufenthaltsraum für Personal</v>
      </c>
      <c r="AD186" s="673" t="str">
        <f>Kriterien!U102</f>
        <v>Pläne, Dokumentation, Visitation</v>
      </c>
      <c r="AE186" s="622" t="str">
        <f>Kriterien!V102</f>
        <v>Plans, documentation, visite</v>
      </c>
      <c r="AF186" s="623" t="str">
        <f t="shared" si="32"/>
        <v>Pläne, Dokumentation, Visitation</v>
      </c>
    </row>
    <row r="187" spans="1:32" s="116" customFormat="1" ht="40" customHeight="1">
      <c r="A187" s="305">
        <f>'2 Autodeklaration'!A100</f>
        <v>0</v>
      </c>
      <c r="B187" s="306"/>
      <c r="C187" s="299"/>
      <c r="D187" s="433"/>
      <c r="E187" s="581" t="s">
        <v>225</v>
      </c>
      <c r="F187" s="126" t="str">
        <f t="shared" si="34"/>
        <v>Personalgarderobe (muss nicht auf dem Areal der IS sein)</v>
      </c>
      <c r="G187" s="544" t="str">
        <f t="shared" si="30"/>
        <v>Pläne, Dokumentation, Visitation</v>
      </c>
      <c r="H187" s="566" t="str">
        <f>IF('2 Autodeklaration'!F100=0,"",'2 Autodeklaration'!F100)</f>
        <v/>
      </c>
      <c r="I187" s="567"/>
      <c r="J187" s="652"/>
      <c r="K187" s="733" t="str">
        <f t="shared" si="35"/>
        <v>Personalgarderobe (muss nicht auf dem Areal der IS sein)</v>
      </c>
      <c r="L187" s="2247"/>
      <c r="M187" s="1284"/>
      <c r="N187" s="1279"/>
      <c r="O187" s="595"/>
      <c r="P187" s="599"/>
      <c r="AA187" s="360" t="str">
        <f>Kriterien!R103</f>
        <v>Personalgarderobe (muss nicht auf dem Areal der IS sein)</v>
      </c>
      <c r="AB187" s="361" t="str">
        <f>Kriterien!S103</f>
        <v>Vestiaire du personnel (ne doit pas obligatoirement se trouver dans l'enceinte de l'USI)</v>
      </c>
      <c r="AC187" s="364" t="str">
        <f t="shared" si="31"/>
        <v>Personalgarderobe (muss nicht auf dem Areal der IS sein)</v>
      </c>
      <c r="AD187" s="673" t="str">
        <f>Kriterien!U103</f>
        <v>Pläne, Dokumentation, Visitation</v>
      </c>
      <c r="AE187" s="622" t="str">
        <f>Kriterien!V103</f>
        <v>Plans, documentation, visite</v>
      </c>
      <c r="AF187" s="623" t="str">
        <f t="shared" si="32"/>
        <v>Pläne, Dokumentation, Visitation</v>
      </c>
    </row>
    <row r="188" spans="1:32" s="116" customFormat="1" ht="60" customHeight="1" thickBot="1">
      <c r="A188" s="305"/>
      <c r="B188" s="306">
        <f>'2 Autodeklaration'!B101</f>
        <v>0</v>
      </c>
      <c r="C188" s="2157"/>
      <c r="D188" s="300"/>
      <c r="E188" s="584" t="s">
        <v>226</v>
      </c>
      <c r="F188" s="368" t="str">
        <f t="shared" si="34"/>
        <v>Abschliessbare Fächer für jeden im Einsatz stehenden Mitarbeiter (kann in Garderobe integriert sein, wenn die Garderobe unmittelbar bei oder in der IS lokalisiert ist)</v>
      </c>
      <c r="G188" s="544" t="str">
        <f t="shared" si="30"/>
        <v>Pläne, Dokumentation, Visitation</v>
      </c>
      <c r="H188" s="566" t="str">
        <f>IF('2 Autodeklaration'!F101=0,"",'2 Autodeklaration'!F101)</f>
        <v/>
      </c>
      <c r="I188" s="567"/>
      <c r="J188" s="652"/>
      <c r="K188" s="158" t="str">
        <f t="shared" si="35"/>
        <v>Abschliessbare Fächer für jeden im Einsatz stehenden Mitarbeiter (kann in Garderobe integriert sein, wenn die Garderobe unmittelbar bei oder in der IS lokalisiert ist)</v>
      </c>
      <c r="L188" s="2248"/>
      <c r="M188" s="1284"/>
      <c r="N188" s="1279"/>
      <c r="O188" s="595"/>
      <c r="P188" s="599"/>
      <c r="AA188" s="360" t="str">
        <f>Kriterien!R104</f>
        <v>Abschliessbare Fächer für jeden im Einsatz stehenden Mitarbeiter (kann in Garderobe integriert sein, wenn die Garderobe unmittelbar bei oder in der IS lokalisiert ist)</v>
      </c>
      <c r="AB188" s="361" t="str">
        <f>Kriterien!S104</f>
        <v>Casiers verrouillables pour chaque membre du personnel en service (peuvent être intégrés aux vestiaires lorsque ceux-ci se trouvent dans l'environnement immédiat de l'USI ou dans l'USI elle-même)</v>
      </c>
      <c r="AC188" s="364" t="str">
        <f t="shared" si="31"/>
        <v>Abschliessbare Fächer für jeden im Einsatz stehenden Mitarbeiter (kann in Garderobe integriert sein, wenn die Garderobe unmittelbar bei oder in der IS lokalisiert ist)</v>
      </c>
      <c r="AD188" s="673" t="str">
        <f>Kriterien!U104</f>
        <v>Pläne, Dokumentation, Visitation</v>
      </c>
      <c r="AE188" s="622" t="str">
        <f>Kriterien!V104</f>
        <v>Plans, documentation, visite</v>
      </c>
      <c r="AF188" s="623" t="str">
        <f t="shared" si="32"/>
        <v>Pläne, Dokumentation, Visitation</v>
      </c>
    </row>
    <row r="189" spans="1:32" s="356" customFormat="1" ht="30" customHeight="1">
      <c r="A189" s="439"/>
      <c r="B189" s="440"/>
      <c r="C189" s="2159"/>
      <c r="D189" s="432"/>
      <c r="E189" s="39">
        <v>3</v>
      </c>
      <c r="F189" s="117" t="str">
        <f t="shared" si="34"/>
        <v>Einrichtung des Patientenplatzes</v>
      </c>
      <c r="G189" s="374" t="str">
        <f t="shared" si="30"/>
        <v/>
      </c>
      <c r="H189" s="564" t="str">
        <f>IF('2 Autodeklaration'!F102=0,"",'2 Autodeklaration'!F102)</f>
        <v/>
      </c>
      <c r="I189" s="565"/>
      <c r="J189" s="691"/>
      <c r="K189" s="722" t="str">
        <f t="shared" si="35"/>
        <v>Einrichtung des Patientenplatzes</v>
      </c>
      <c r="L189" s="1259"/>
      <c r="M189" s="1286"/>
      <c r="N189" s="1287"/>
      <c r="O189" s="1288"/>
      <c r="P189" s="1289"/>
      <c r="AA189" s="357" t="str">
        <f>Kriterien!R105</f>
        <v>Einrichtung des Patientenplatzes</v>
      </c>
      <c r="AB189" s="358" t="str">
        <f>Kriterien!S105</f>
        <v>Aménagement de l'espace dédié au patient</v>
      </c>
      <c r="AC189" s="363" t="str">
        <f t="shared" si="31"/>
        <v>Einrichtung des Patientenplatzes</v>
      </c>
      <c r="AD189" s="673">
        <f>Kriterien!U105</f>
        <v>0</v>
      </c>
      <c r="AE189" s="622">
        <f>Kriterien!V105</f>
        <v>0</v>
      </c>
      <c r="AF189" s="623" t="str">
        <f t="shared" si="32"/>
        <v/>
      </c>
    </row>
    <row r="190" spans="1:32" s="116" customFormat="1" ht="30" customHeight="1">
      <c r="A190" s="305"/>
      <c r="B190" s="306"/>
      <c r="C190" s="2157"/>
      <c r="D190" s="433"/>
      <c r="E190" s="579">
        <v>3.1</v>
      </c>
      <c r="F190" s="118" t="str">
        <f t="shared" si="34"/>
        <v>Patientenbett</v>
      </c>
      <c r="G190" s="548" t="str">
        <f t="shared" ref="G190:G253" si="36">AF190</f>
        <v/>
      </c>
      <c r="H190" s="566" t="str">
        <f>IF('2 Autodeklaration'!F103=0,"",'2 Autodeklaration'!F103)</f>
        <v/>
      </c>
      <c r="I190" s="567"/>
      <c r="J190" s="688"/>
      <c r="K190" s="723" t="str">
        <f t="shared" si="35"/>
        <v>Patientenbett</v>
      </c>
      <c r="L190" s="1256"/>
      <c r="M190" s="1284"/>
      <c r="N190" s="1279"/>
      <c r="O190" s="595"/>
      <c r="P190" s="599"/>
      <c r="AA190" s="360" t="str">
        <f>Kriterien!R106</f>
        <v>Patientenbett</v>
      </c>
      <c r="AB190" s="361" t="str">
        <f>Kriterien!S106</f>
        <v>Lit du patient</v>
      </c>
      <c r="AC190" s="364" t="str">
        <f t="shared" si="31"/>
        <v>Patientenbett</v>
      </c>
      <c r="AD190" s="673">
        <f>Kriterien!U106</f>
        <v>0</v>
      </c>
      <c r="AE190" s="622">
        <f>Kriterien!V106</f>
        <v>0</v>
      </c>
      <c r="AF190" s="623" t="str">
        <f t="shared" si="32"/>
        <v/>
      </c>
    </row>
    <row r="191" spans="1:32" s="116" customFormat="1" ht="60" customHeight="1">
      <c r="A191" s="305"/>
      <c r="B191" s="306">
        <f>'2 Autodeklaration'!B104</f>
        <v>0</v>
      </c>
      <c r="C191" s="2157"/>
      <c r="D191" s="300"/>
      <c r="E191" s="581" t="s">
        <v>227</v>
      </c>
      <c r="F191" s="120" t="str">
        <f t="shared" si="34"/>
        <v>Das Patientenbett erlaubt Veränderung der Lage des Patienten im Raum in drei Abschnitten: Kopfteil, Mittelteil und Fussende, sowie alle drei Abschnitte gemeinsam.</v>
      </c>
      <c r="G191" s="544" t="str">
        <f t="shared" si="36"/>
        <v>Visitation</v>
      </c>
      <c r="H191" s="566" t="str">
        <f>IF('2 Autodeklaration'!F104=0,"",'2 Autodeklaration'!F104)</f>
        <v/>
      </c>
      <c r="I191" s="567"/>
      <c r="J191" s="688"/>
      <c r="K191" s="724" t="str">
        <f t="shared" si="35"/>
        <v>Das Patientenbett erlaubt Veränderung der Lage des Patienten im Raum in drei Abschnitten: Kopfteil, Mittelteil und Fussende, sowie alle drei Abschnitte gemeinsam.</v>
      </c>
      <c r="L191" s="1256"/>
      <c r="M191" s="1284"/>
      <c r="N191" s="1279"/>
      <c r="O191" s="595"/>
      <c r="P191" s="599"/>
      <c r="AA191" s="360" t="str">
        <f>Kriterien!R107</f>
        <v>Das Patientenbett erlaubt Veränderung der Lage des Patienten im Raum in drei Abschnitten: Kopfteil, Mittelteil und Fussende, sowie alle drei Abschnitte gemeinsam.</v>
      </c>
      <c r="AB191" s="361" t="str">
        <f>Kriterien!S107</f>
        <v>Le lit permet de modifier la position du patient à trois niveaux : au niveau de la tête, du corps et des pieds ainsi qu'aux trois niveaux simultanément.</v>
      </c>
      <c r="AC191" s="364" t="str">
        <f t="shared" si="31"/>
        <v>Das Patientenbett erlaubt Veränderung der Lage des Patienten im Raum in drei Abschnitten: Kopfteil, Mittelteil und Fussende, sowie alle drei Abschnitte gemeinsam.</v>
      </c>
      <c r="AD191" s="673" t="str">
        <f>Kriterien!U107</f>
        <v>Visitation</v>
      </c>
      <c r="AE191" s="622" t="str">
        <f>Kriterien!V107</f>
        <v>Visite</v>
      </c>
      <c r="AF191" s="623" t="str">
        <f t="shared" si="32"/>
        <v>Visitation</v>
      </c>
    </row>
    <row r="192" spans="1:32" s="116" customFormat="1" ht="30" customHeight="1">
      <c r="A192" s="305">
        <f>'2 Autodeklaration'!A105</f>
        <v>0</v>
      </c>
      <c r="B192" s="306"/>
      <c r="C192" s="299"/>
      <c r="D192" s="433"/>
      <c r="E192" s="581" t="s">
        <v>228</v>
      </c>
      <c r="F192" s="120" t="str">
        <f t="shared" si="34"/>
        <v>Das Bett muss eine externe Herzmassage erlauben.</v>
      </c>
      <c r="G192" s="544" t="str">
        <f t="shared" si="36"/>
        <v>Visitation</v>
      </c>
      <c r="H192" s="566" t="str">
        <f>IF('2 Autodeklaration'!F105=0,"",'2 Autodeklaration'!F105)</f>
        <v/>
      </c>
      <c r="I192" s="567"/>
      <c r="J192" s="688"/>
      <c r="K192" s="724" t="str">
        <f t="shared" si="35"/>
        <v>Das Bett muss eine externe Herzmassage erlauben.</v>
      </c>
      <c r="L192" s="1256"/>
      <c r="M192" s="1284"/>
      <c r="N192" s="1279"/>
      <c r="O192" s="595"/>
      <c r="P192" s="599"/>
      <c r="AA192" s="360" t="str">
        <f>Kriterien!R108</f>
        <v>Das Bett muss eine externe Herzmassage erlauben.</v>
      </c>
      <c r="AB192" s="361" t="str">
        <f>Kriterien!S108</f>
        <v>Le lit doit permettre un massage cardiaque externe.</v>
      </c>
      <c r="AC192" s="364" t="str">
        <f t="shared" si="31"/>
        <v>Das Bett muss eine externe Herzmassage erlauben.</v>
      </c>
      <c r="AD192" s="673" t="str">
        <f>Kriterien!U108</f>
        <v>Visitation</v>
      </c>
      <c r="AE192" s="622" t="str">
        <f>Kriterien!V108</f>
        <v>Visite</v>
      </c>
      <c r="AF192" s="623" t="str">
        <f t="shared" si="32"/>
        <v>Visitation</v>
      </c>
    </row>
    <row r="193" spans="1:32" s="116" customFormat="1" ht="77" customHeight="1">
      <c r="A193" s="305"/>
      <c r="B193" s="306">
        <f>'2 Autodeklaration'!B106</f>
        <v>0</v>
      </c>
      <c r="C193" s="2157"/>
      <c r="D193" s="300"/>
      <c r="E193" s="581" t="s">
        <v>229</v>
      </c>
      <c r="F193" s="120" t="str">
        <f t="shared" si="34"/>
        <v>Die Ausrüstung der Betten ist so veränderbar, dass alle Lagerungen (Rücken-, Seiten- und Bauchlagerung) durchgeführt werden können. Die Unterlagen und Matratzen müssen so gewählt werden können, dass eine Dekubitusprophylaxe möglich ist.</v>
      </c>
      <c r="G193" s="544" t="str">
        <f t="shared" si="36"/>
        <v>Visitation</v>
      </c>
      <c r="H193" s="566" t="str">
        <f>IF('2 Autodeklaration'!F106=0,"",'2 Autodeklaration'!F106)</f>
        <v/>
      </c>
      <c r="I193" s="567"/>
      <c r="J193" s="688"/>
      <c r="K193" s="724" t="str">
        <f t="shared" si="35"/>
        <v>Die Ausrüstung der Betten ist so veränderbar, dass alle Lagerungen (Rücken-, Seiten- und Bauchlagerung) durchgeführt werden können. Die Unterlagen und Matratzen müssen so gewählt werden können, dass eine Dekubitusprophylaxe möglich ist.</v>
      </c>
      <c r="L193" s="1256"/>
      <c r="M193" s="1284"/>
      <c r="N193" s="1279"/>
      <c r="O193" s="595"/>
      <c r="P193" s="599"/>
      <c r="AA193" s="360" t="str">
        <f>Kriterien!R109</f>
        <v>Die Ausrüstung der Betten ist so veränderbar, dass alle Lagerungen (Rücken-, Seiten- und Bauchlagerung) durchgeführt werden können. Die Unterlagen und Matratzen müssen so gewählt werden können, dass eine Dekubitusprophylaxe möglich ist.</v>
      </c>
      <c r="AB193" s="361" t="str">
        <f>Kriterien!S109</f>
        <v>L’équipement des lits est conçu de façon à permettre indifféremment le positionnement du patient en décubitus ventral, latéral et dorsal. Alèse et matelas doivent être choisis de façon à prévenir les escarres.</v>
      </c>
      <c r="AC193" s="364" t="str">
        <f t="shared" si="31"/>
        <v>Die Ausrüstung der Betten ist so veränderbar, dass alle Lagerungen (Rücken-, Seiten- und Bauchlagerung) durchgeführt werden können. Die Unterlagen und Matratzen müssen so gewählt werden können, dass eine Dekubitusprophylaxe möglich ist.</v>
      </c>
      <c r="AD193" s="673" t="str">
        <f>Kriterien!U109</f>
        <v>Visitation</v>
      </c>
      <c r="AE193" s="622" t="str">
        <f>Kriterien!V109</f>
        <v>Visite</v>
      </c>
      <c r="AF193" s="623" t="str">
        <f t="shared" si="32"/>
        <v>Visitation</v>
      </c>
    </row>
    <row r="194" spans="1:32" s="116" customFormat="1" ht="30" customHeight="1">
      <c r="A194" s="305"/>
      <c r="B194" s="306"/>
      <c r="C194" s="2157"/>
      <c r="D194" s="433"/>
      <c r="E194" s="579">
        <v>3.2</v>
      </c>
      <c r="F194" s="118" t="str">
        <f t="shared" si="34"/>
        <v>Anordnung des Bettes im Raum und Abtrennung</v>
      </c>
      <c r="G194" s="548" t="str">
        <f t="shared" si="36"/>
        <v/>
      </c>
      <c r="H194" s="566" t="str">
        <f>IF('2 Autodeklaration'!F107=0,"",'2 Autodeklaration'!F107)</f>
        <v/>
      </c>
      <c r="I194" s="567"/>
      <c r="J194" s="688"/>
      <c r="K194" s="723" t="str">
        <f t="shared" si="35"/>
        <v>Anordnung des Bettes im Raum und Abtrennung</v>
      </c>
      <c r="L194" s="1256"/>
      <c r="M194" s="1284"/>
      <c r="N194" s="1279"/>
      <c r="O194" s="595"/>
      <c r="P194" s="599"/>
      <c r="AA194" s="360" t="str">
        <f>Kriterien!R110</f>
        <v>Anordnung des Bettes im Raum und Abtrennung</v>
      </c>
      <c r="AB194" s="361" t="str">
        <f>Kriterien!S110</f>
        <v>Agencement du lit dans la pièce et séparation</v>
      </c>
      <c r="AC194" s="364" t="str">
        <f t="shared" si="31"/>
        <v>Anordnung des Bettes im Raum und Abtrennung</v>
      </c>
      <c r="AD194" s="673">
        <f>Kriterien!U110</f>
        <v>0</v>
      </c>
      <c r="AE194" s="622">
        <f>Kriterien!V110</f>
        <v>0</v>
      </c>
      <c r="AF194" s="623" t="str">
        <f t="shared" si="32"/>
        <v/>
      </c>
    </row>
    <row r="195" spans="1:32" s="116" customFormat="1" ht="60" customHeight="1">
      <c r="A195" s="305"/>
      <c r="B195" s="306">
        <f>'2 Autodeklaration'!B108</f>
        <v>0</v>
      </c>
      <c r="C195" s="2157"/>
      <c r="D195" s="300"/>
      <c r="E195" s="581" t="s">
        <v>230</v>
      </c>
      <c r="F195" s="122" t="str">
        <f t="shared" si="34"/>
        <v>Die Platzierung und die Orientierung des Bettes soll dem Patienten erlauben, das Pflegepersonal, das Aussenfenster, die Uhr sowie andere räumliche Orientierungspunkte zu sehen.</v>
      </c>
      <c r="G195" s="544" t="str">
        <f t="shared" si="36"/>
        <v>Visitation</v>
      </c>
      <c r="H195" s="566" t="str">
        <f>IF('2 Autodeklaration'!F108=0,"",'2 Autodeklaration'!F108)</f>
        <v/>
      </c>
      <c r="I195" s="567"/>
      <c r="J195" s="688"/>
      <c r="K195" s="725" t="str">
        <f t="shared" si="35"/>
        <v>Die Platzierung und die Orientierung des Bettes soll dem Patienten erlauben, das Pflegepersonal, das Aussenfenster, die Uhr sowie andere räumliche Orientierungspunkte zu sehen.</v>
      </c>
      <c r="L195" s="1256"/>
      <c r="M195" s="1284"/>
      <c r="N195" s="1279"/>
      <c r="O195" s="595"/>
      <c r="P195" s="599"/>
      <c r="AA195" s="360" t="str">
        <f>Kriterien!R111</f>
        <v>Die Platzierung und die Orientierung des Bettes soll dem Patienten erlauben, das Pflegepersonal, das Aussenfenster, die Uhr sowie andere räumliche Orientierungspunkte zu sehen.</v>
      </c>
      <c r="AB195" s="361" t="str">
        <f>Kriterien!S111</f>
        <v>La localisation et l'orientation du lit doivent permettre au patient d'apercevoir l'infirmière, la fenêtre de la chambre, l'horloge ainsi que d'autres repères spatiaux.</v>
      </c>
      <c r="AC195" s="364" t="str">
        <f t="shared" si="31"/>
        <v>Die Platzierung und die Orientierung des Bettes soll dem Patienten erlauben, das Pflegepersonal, das Aussenfenster, die Uhr sowie andere räumliche Orientierungspunkte zu sehen.</v>
      </c>
      <c r="AD195" s="673" t="str">
        <f>Kriterien!U111</f>
        <v>Visitation</v>
      </c>
      <c r="AE195" s="622" t="str">
        <f>Kriterien!V111</f>
        <v>Visite</v>
      </c>
      <c r="AF195" s="623" t="str">
        <f t="shared" si="32"/>
        <v>Visitation</v>
      </c>
    </row>
    <row r="196" spans="1:32" s="116" customFormat="1" ht="30" customHeight="1">
      <c r="A196" s="305"/>
      <c r="B196" s="306">
        <f>'2 Autodeklaration'!B109</f>
        <v>0</v>
      </c>
      <c r="C196" s="2161"/>
      <c r="D196" s="300"/>
      <c r="E196" s="581" t="s">
        <v>231</v>
      </c>
      <c r="F196" s="122" t="str">
        <f t="shared" si="34"/>
        <v>Das Bett ist im Bedarfsfall von allen Seiten her zugänglich.</v>
      </c>
      <c r="G196" s="544" t="str">
        <f t="shared" si="36"/>
        <v>Visitation</v>
      </c>
      <c r="H196" s="566" t="str">
        <f>IF('2 Autodeklaration'!F109=0,"",'2 Autodeklaration'!F109)</f>
        <v/>
      </c>
      <c r="I196" s="567"/>
      <c r="J196" s="688" t="s">
        <v>1341</v>
      </c>
      <c r="K196" s="725" t="str">
        <f t="shared" si="35"/>
        <v>Das Bett ist im Bedarfsfall von allen Seiten her zugänglich.</v>
      </c>
      <c r="L196" s="1256"/>
      <c r="M196" s="1284"/>
      <c r="N196" s="1279"/>
      <c r="O196" s="595"/>
      <c r="P196" s="599"/>
      <c r="AA196" s="360" t="str">
        <f>Kriterien!R112</f>
        <v>Das Bett ist im Bedarfsfall von allen Seiten her zugänglich.</v>
      </c>
      <c r="AB196" s="361" t="str">
        <f>Kriterien!S112</f>
        <v>En cas de besoin, le lit doit être accessible par tous les côtés.</v>
      </c>
      <c r="AC196" s="364" t="str">
        <f t="shared" si="31"/>
        <v>Das Bett ist im Bedarfsfall von allen Seiten her zugänglich.</v>
      </c>
      <c r="AD196" s="673" t="str">
        <f>Kriterien!U112</f>
        <v>Visitation</v>
      </c>
      <c r="AE196" s="622" t="str">
        <f>Kriterien!V112</f>
        <v>Visite</v>
      </c>
      <c r="AF196" s="623" t="str">
        <f t="shared" si="32"/>
        <v>Visitation</v>
      </c>
    </row>
    <row r="197" spans="1:32" s="116" customFormat="1" ht="40" customHeight="1">
      <c r="A197" s="305"/>
      <c r="B197" s="306">
        <f>'2 Autodeklaration'!B110</f>
        <v>0</v>
      </c>
      <c r="C197" s="2157"/>
      <c r="D197" s="300"/>
      <c r="E197" s="581" t="s">
        <v>232</v>
      </c>
      <c r="F197" s="120" t="str">
        <f t="shared" si="34"/>
        <v>In Mehrbettzimmern sind flexible Trennvorrichtungen, die leicht und schnell zu öffnen sind, installiert (fixe Installation oder variabel).</v>
      </c>
      <c r="G197" s="544" t="str">
        <f t="shared" si="36"/>
        <v>Visitation</v>
      </c>
      <c r="H197" s="566" t="str">
        <f>IF('2 Autodeklaration'!F110=0,"",'2 Autodeklaration'!F110)</f>
        <v/>
      </c>
      <c r="I197" s="567"/>
      <c r="J197" s="688"/>
      <c r="K197" s="724" t="str">
        <f t="shared" si="35"/>
        <v>In Mehrbettzimmern sind flexible Trennvorrichtungen, die leicht und schnell zu öffnen sind, installiert (fixe Installation oder variabel).</v>
      </c>
      <c r="L197" s="1256"/>
      <c r="M197" s="1284"/>
      <c r="N197" s="1279"/>
      <c r="O197" s="595"/>
      <c r="P197" s="599"/>
      <c r="AA197" s="360" t="str">
        <f>Kriterien!R113</f>
        <v>In Mehrbettzimmern sind flexible Trennvorrichtungen, die leicht und schnell zu öffnen sind, installiert (fixe Installation oder variabel).</v>
      </c>
      <c r="AB197" s="361" t="str">
        <f>Kriterien!S113</f>
        <v>Dans des chambres à plusieurs lits, des rideaux de séparation flexibles, dont l'ouverture est facile et rapide, sont installés (installation fixe ou amovible).</v>
      </c>
      <c r="AC197" s="364" t="str">
        <f t="shared" si="31"/>
        <v>In Mehrbettzimmern sind flexible Trennvorrichtungen, die leicht und schnell zu öffnen sind, installiert (fixe Installation oder variabel).</v>
      </c>
      <c r="AD197" s="673" t="str">
        <f>Kriterien!U113</f>
        <v>Visitation</v>
      </c>
      <c r="AE197" s="622" t="str">
        <f>Kriterien!V113</f>
        <v>Visite</v>
      </c>
      <c r="AF197" s="623" t="str">
        <f t="shared" si="32"/>
        <v>Visitation</v>
      </c>
    </row>
    <row r="198" spans="1:32" s="116" customFormat="1" ht="30" customHeight="1">
      <c r="A198" s="305"/>
      <c r="B198" s="306"/>
      <c r="C198" s="2157"/>
      <c r="D198" s="433"/>
      <c r="E198" s="579">
        <v>3.3</v>
      </c>
      <c r="F198" s="118" t="str">
        <f t="shared" si="34"/>
        <v>Minimalinstallationen am Bettplatz</v>
      </c>
      <c r="G198" s="548" t="str">
        <f t="shared" si="36"/>
        <v/>
      </c>
      <c r="H198" s="566" t="str">
        <f>IF('2 Autodeklaration'!F111=0,"",'2 Autodeklaration'!F111)</f>
        <v/>
      </c>
      <c r="I198" s="567"/>
      <c r="J198" s="688"/>
      <c r="K198" s="723" t="str">
        <f t="shared" si="35"/>
        <v>Minimalinstallationen am Bettplatz</v>
      </c>
      <c r="L198" s="1256"/>
      <c r="M198" s="1284"/>
      <c r="N198" s="1279"/>
      <c r="O198" s="595"/>
      <c r="P198" s="599"/>
      <c r="AA198" s="360" t="str">
        <f>Kriterien!R114</f>
        <v>Minimalinstallationen am Bettplatz</v>
      </c>
      <c r="AB198" s="361" t="str">
        <f>Kriterien!S114</f>
        <v>Installations minimales à l'emplacement du lit</v>
      </c>
      <c r="AC198" s="364" t="str">
        <f t="shared" si="31"/>
        <v>Minimalinstallationen am Bettplatz</v>
      </c>
      <c r="AD198" s="673">
        <f>Kriterien!U114</f>
        <v>0</v>
      </c>
      <c r="AE198" s="622">
        <f>Kriterien!V114</f>
        <v>0</v>
      </c>
      <c r="AF198" s="623" t="str">
        <f t="shared" si="32"/>
        <v/>
      </c>
    </row>
    <row r="199" spans="1:32" s="116" customFormat="1" ht="56" customHeight="1">
      <c r="A199" s="305"/>
      <c r="B199" s="306">
        <f>'2 Autodeklaration'!B112</f>
        <v>0</v>
      </c>
      <c r="C199" s="2157"/>
      <c r="D199" s="300"/>
      <c r="E199" s="581" t="s">
        <v>233</v>
      </c>
      <c r="F199" s="120" t="str">
        <f t="shared" si="34"/>
        <v>Die folgenden Installationen pro Bettenplatz sind leicht erreichbar und auf mindestens 120 cm Höhe installiert, verteilt auf beide Seiten des Bettes.</v>
      </c>
      <c r="G199" s="544" t="str">
        <f t="shared" si="36"/>
        <v>Visitation</v>
      </c>
      <c r="H199" s="566" t="str">
        <f>IF('2 Autodeklaration'!F112=0,"",'2 Autodeklaration'!F112)</f>
        <v/>
      </c>
      <c r="I199" s="567"/>
      <c r="J199" s="688"/>
      <c r="K199" s="724" t="str">
        <f t="shared" si="35"/>
        <v>Die folgenden Installationen pro Bettenplatz sind leicht erreichbar und auf mindestens 120 cm Höhe installiert, verteilt auf beide Seiten des Bettes.</v>
      </c>
      <c r="L199" s="1256"/>
      <c r="M199" s="1284"/>
      <c r="N199" s="1279"/>
      <c r="O199" s="595"/>
      <c r="P199" s="599"/>
      <c r="AA199" s="360" t="str">
        <f>Kriterien!R115</f>
        <v>Die folgenden Installationen pro Bettenplatz sind leicht erreichbar und auf mindestens 120 cm Höhe installiert, verteilt auf beide Seiten des Bettes.</v>
      </c>
      <c r="AB199" s="361" t="str">
        <f>Kriterien!S115</f>
        <v>Les installations suivantes équipant chaque lit sont facilement accessibles et placées à une hauteur de 120 cm au moins, disposées de part et d'autre du lit :</v>
      </c>
      <c r="AC199" s="364" t="str">
        <f t="shared" si="31"/>
        <v>Die folgenden Installationen pro Bettenplatz sind leicht erreichbar und auf mindestens 120 cm Höhe installiert, verteilt auf beide Seiten des Bettes.</v>
      </c>
      <c r="AD199" s="673" t="str">
        <f>Kriterien!U115</f>
        <v>Visitation</v>
      </c>
      <c r="AE199" s="622" t="str">
        <f>Kriterien!V115</f>
        <v>Visite</v>
      </c>
      <c r="AF199" s="623" t="str">
        <f t="shared" si="32"/>
        <v>Visitation</v>
      </c>
    </row>
    <row r="200" spans="1:32" s="116" customFormat="1" ht="30" customHeight="1">
      <c r="A200" s="305">
        <f>'2 Autodeklaration'!A113</f>
        <v>0</v>
      </c>
      <c r="B200" s="306"/>
      <c r="C200" s="299"/>
      <c r="D200" s="433"/>
      <c r="E200" s="581" t="s">
        <v>234</v>
      </c>
      <c r="F200" s="120" t="str">
        <f t="shared" si="34"/>
        <v>12 Steckdosen</v>
      </c>
      <c r="G200" s="544" t="str">
        <f t="shared" si="36"/>
        <v>Visitation</v>
      </c>
      <c r="H200" s="566" t="str">
        <f>IF('2 Autodeklaration'!F113=0,"",'2 Autodeklaration'!F113)</f>
        <v/>
      </c>
      <c r="I200" s="567"/>
      <c r="J200" s="688"/>
      <c r="K200" s="724" t="str">
        <f t="shared" si="35"/>
        <v>12 Steckdosen</v>
      </c>
      <c r="L200" s="1256"/>
      <c r="M200" s="1284"/>
      <c r="N200" s="1279"/>
      <c r="O200" s="595"/>
      <c r="P200" s="599"/>
      <c r="AA200" s="360" t="str">
        <f>Kriterien!R116</f>
        <v>12 Steckdosen</v>
      </c>
      <c r="AB200" s="361" t="str">
        <f>Kriterien!S116</f>
        <v>12 prises électriques</v>
      </c>
      <c r="AC200" s="364" t="str">
        <f t="shared" si="31"/>
        <v>12 Steckdosen</v>
      </c>
      <c r="AD200" s="673" t="str">
        <f>Kriterien!U116</f>
        <v>Visitation</v>
      </c>
      <c r="AE200" s="622" t="str">
        <f>Kriterien!V116</f>
        <v>Visite</v>
      </c>
      <c r="AF200" s="623" t="str">
        <f t="shared" si="32"/>
        <v>Visitation</v>
      </c>
    </row>
    <row r="201" spans="1:32" s="116" customFormat="1" ht="30" customHeight="1">
      <c r="A201" s="305">
        <f>'2 Autodeklaration'!A114</f>
        <v>0</v>
      </c>
      <c r="B201" s="306"/>
      <c r="C201" s="299"/>
      <c r="D201" s="433"/>
      <c r="E201" s="581" t="s">
        <v>235</v>
      </c>
      <c r="F201" s="120" t="str">
        <f t="shared" si="34"/>
        <v>2 Sauerstoffanschlüsse</v>
      </c>
      <c r="G201" s="544" t="str">
        <f t="shared" si="36"/>
        <v>Visitation</v>
      </c>
      <c r="H201" s="566" t="str">
        <f>IF('2 Autodeklaration'!F114=0,"",'2 Autodeklaration'!F114)</f>
        <v/>
      </c>
      <c r="I201" s="567"/>
      <c r="J201" s="688"/>
      <c r="K201" s="724" t="str">
        <f t="shared" si="35"/>
        <v>2 Sauerstoffanschlüsse</v>
      </c>
      <c r="L201" s="1256"/>
      <c r="M201" s="1284"/>
      <c r="N201" s="1279"/>
      <c r="O201" s="595"/>
      <c r="P201" s="599"/>
      <c r="AA201" s="360" t="str">
        <f>Kriterien!R117</f>
        <v>2 Sauerstoffanschlüsse</v>
      </c>
      <c r="AB201" s="361" t="str">
        <f>Kriterien!S117</f>
        <v>2 prises d'oxygène</v>
      </c>
      <c r="AC201" s="364" t="str">
        <f t="shared" si="31"/>
        <v>2 Sauerstoffanschlüsse</v>
      </c>
      <c r="AD201" s="673" t="str">
        <f>Kriterien!U117</f>
        <v>Visitation</v>
      </c>
      <c r="AE201" s="622" t="str">
        <f>Kriterien!V117</f>
        <v>Visite</v>
      </c>
      <c r="AF201" s="623" t="str">
        <f t="shared" si="32"/>
        <v>Visitation</v>
      </c>
    </row>
    <row r="202" spans="1:32" s="116" customFormat="1" ht="30" customHeight="1">
      <c r="A202" s="305">
        <f>'2 Autodeklaration'!A115</f>
        <v>0</v>
      </c>
      <c r="B202" s="306"/>
      <c r="C202" s="299"/>
      <c r="D202" s="433"/>
      <c r="E202" s="581" t="s">
        <v>236</v>
      </c>
      <c r="F202" s="120" t="str">
        <f t="shared" si="34"/>
        <v>1 Druckluftanschluss</v>
      </c>
      <c r="G202" s="544" t="str">
        <f t="shared" si="36"/>
        <v>Visitation</v>
      </c>
      <c r="H202" s="566" t="str">
        <f>IF('2 Autodeklaration'!F115=0,"",'2 Autodeklaration'!F115)</f>
        <v/>
      </c>
      <c r="I202" s="567"/>
      <c r="J202" s="688"/>
      <c r="K202" s="724" t="str">
        <f t="shared" si="35"/>
        <v>1 Druckluftanschluss</v>
      </c>
      <c r="L202" s="1256"/>
      <c r="M202" s="1284"/>
      <c r="N202" s="1279"/>
      <c r="O202" s="595"/>
      <c r="P202" s="599"/>
      <c r="AA202" s="360" t="str">
        <f>Kriterien!R118</f>
        <v>1 Druckluftanschluss</v>
      </c>
      <c r="AB202" s="361" t="str">
        <f>Kriterien!S118</f>
        <v>1 prise d'air comprimé</v>
      </c>
      <c r="AC202" s="364" t="str">
        <f t="shared" si="31"/>
        <v>1 Druckluftanschluss</v>
      </c>
      <c r="AD202" s="673" t="str">
        <f>Kriterien!U118</f>
        <v>Visitation</v>
      </c>
      <c r="AE202" s="622" t="str">
        <f>Kriterien!V118</f>
        <v>Visite</v>
      </c>
      <c r="AF202" s="623" t="str">
        <f t="shared" si="32"/>
        <v>Visitation</v>
      </c>
    </row>
    <row r="203" spans="1:32" s="116" customFormat="1" ht="30" customHeight="1">
      <c r="A203" s="305">
        <f>'2 Autodeklaration'!A116</f>
        <v>0</v>
      </c>
      <c r="B203" s="306"/>
      <c r="C203" s="299"/>
      <c r="D203" s="433"/>
      <c r="E203" s="581" t="s">
        <v>237</v>
      </c>
      <c r="F203" s="120" t="str">
        <f t="shared" si="34"/>
        <v>2 Vakuumanschlüsse</v>
      </c>
      <c r="G203" s="544" t="str">
        <f t="shared" si="36"/>
        <v>Visitation</v>
      </c>
      <c r="H203" s="566" t="str">
        <f>IF('2 Autodeklaration'!F116=0,"",'2 Autodeklaration'!F116)</f>
        <v/>
      </c>
      <c r="I203" s="567"/>
      <c r="J203" s="688"/>
      <c r="K203" s="724" t="str">
        <f t="shared" si="35"/>
        <v>2 Vakuumanschlüsse</v>
      </c>
      <c r="L203" s="1256"/>
      <c r="M203" s="1284"/>
      <c r="N203" s="1279"/>
      <c r="O203" s="595"/>
      <c r="P203" s="599"/>
      <c r="AA203" s="360" t="str">
        <f>Kriterien!R119</f>
        <v>2 Vakuumanschlüsse</v>
      </c>
      <c r="AB203" s="361" t="str">
        <f>Kriterien!S119</f>
        <v>2 prises de vide (vacuum)</v>
      </c>
      <c r="AC203" s="364" t="str">
        <f t="shared" si="31"/>
        <v>2 Vakuumanschlüsse</v>
      </c>
      <c r="AD203" s="673" t="str">
        <f>Kriterien!U119</f>
        <v>Visitation</v>
      </c>
      <c r="AE203" s="622" t="str">
        <f>Kriterien!V119</f>
        <v>Visite</v>
      </c>
      <c r="AF203" s="623" t="str">
        <f t="shared" si="32"/>
        <v>Visitation</v>
      </c>
    </row>
    <row r="204" spans="1:32" s="116" customFormat="1" ht="40" customHeight="1">
      <c r="A204" s="305"/>
      <c r="B204" s="306">
        <f>'2 Autodeklaration'!B117</f>
        <v>0</v>
      </c>
      <c r="C204" s="2157"/>
      <c r="D204" s="300"/>
      <c r="E204" s="581" t="s">
        <v>238</v>
      </c>
      <c r="F204" s="120" t="str">
        <f t="shared" si="34"/>
        <v>Variable Beleuchtungsstärken pro Bettenplatz von Nachtbeleuchtung bis sehr hell (1000 Lux)</v>
      </c>
      <c r="G204" s="544" t="str">
        <f t="shared" si="36"/>
        <v>Visitation</v>
      </c>
      <c r="H204" s="566" t="str">
        <f>IF('2 Autodeklaration'!F117=0,"",'2 Autodeklaration'!F117)</f>
        <v/>
      </c>
      <c r="I204" s="567"/>
      <c r="J204" s="688"/>
      <c r="K204" s="724" t="str">
        <f t="shared" si="35"/>
        <v>Variable Beleuchtungsstärken pro Bettenplatz von Nachtbeleuchtung bis sehr hell (1000 Lux)</v>
      </c>
      <c r="L204" s="1256"/>
      <c r="M204" s="1284"/>
      <c r="N204" s="1279"/>
      <c r="O204" s="595"/>
      <c r="P204" s="599"/>
      <c r="AA204" s="360" t="str">
        <f>Kriterien!R120</f>
        <v>Variable Beleuchtungsstärken pro Bettenplatz von Nachtbeleuchtung bis sehr hell (1000 Lux)</v>
      </c>
      <c r="AB204" s="361" t="str">
        <f>Kriterien!S120</f>
        <v>une lampe par lit équipée d’un variateur permettant un éclairage de très faible à très forte intensité (1000 lux)</v>
      </c>
      <c r="AC204" s="364" t="str">
        <f t="shared" si="31"/>
        <v>Variable Beleuchtungsstärken pro Bettenplatz von Nachtbeleuchtung bis sehr hell (1000 Lux)</v>
      </c>
      <c r="AD204" s="673" t="str">
        <f>Kriterien!U120</f>
        <v>Visitation</v>
      </c>
      <c r="AE204" s="622" t="str">
        <f>Kriterien!V120</f>
        <v>Visite</v>
      </c>
      <c r="AF204" s="623" t="str">
        <f t="shared" si="32"/>
        <v>Visitation</v>
      </c>
    </row>
    <row r="205" spans="1:32" s="116" customFormat="1" ht="30" customHeight="1">
      <c r="A205" s="305">
        <f>'2 Autodeklaration'!A118</f>
        <v>0</v>
      </c>
      <c r="B205" s="306"/>
      <c r="C205" s="299"/>
      <c r="D205" s="433"/>
      <c r="E205" s="581" t="s">
        <v>239</v>
      </c>
      <c r="F205" s="124" t="str">
        <f t="shared" si="34"/>
        <v>Präsenzlicht mit Alarm</v>
      </c>
      <c r="G205" s="544" t="str">
        <f t="shared" si="36"/>
        <v>Visitation</v>
      </c>
      <c r="H205" s="566" t="str">
        <f>IF('2 Autodeklaration'!F118=0,"",'2 Autodeklaration'!F118)</f>
        <v/>
      </c>
      <c r="I205" s="567"/>
      <c r="J205" s="688"/>
      <c r="K205" s="728" t="str">
        <f t="shared" si="35"/>
        <v>Präsenzlicht mit Alarm</v>
      </c>
      <c r="L205" s="1256"/>
      <c r="M205" s="1284"/>
      <c r="N205" s="1279"/>
      <c r="O205" s="595"/>
      <c r="P205" s="599"/>
      <c r="AA205" s="360" t="str">
        <f>Kriterien!R121</f>
        <v>Präsenzlicht mit Alarm</v>
      </c>
      <c r="AB205" s="361" t="str">
        <f>Kriterien!S121</f>
        <v>une lumière de présence avec alarme</v>
      </c>
      <c r="AC205" s="364" t="str">
        <f t="shared" si="31"/>
        <v>Präsenzlicht mit Alarm</v>
      </c>
      <c r="AD205" s="673" t="str">
        <f>Kriterien!U121</f>
        <v>Visitation</v>
      </c>
      <c r="AE205" s="622" t="str">
        <f>Kriterien!V121</f>
        <v>Visite</v>
      </c>
      <c r="AF205" s="623" t="str">
        <f t="shared" si="32"/>
        <v>Visitation</v>
      </c>
    </row>
    <row r="206" spans="1:32" s="116" customFormat="1" ht="30" customHeight="1" thickBot="1">
      <c r="A206" s="305"/>
      <c r="B206" s="306">
        <f>'2 Autodeklaration'!B119</f>
        <v>0</v>
      </c>
      <c r="C206" s="2157"/>
      <c r="D206" s="300"/>
      <c r="E206" s="581" t="s">
        <v>240</v>
      </c>
      <c r="F206" s="120" t="str">
        <f t="shared" si="34"/>
        <v>Telefonanschluss</v>
      </c>
      <c r="G206" s="544" t="str">
        <f t="shared" si="36"/>
        <v>Visitation</v>
      </c>
      <c r="H206" s="566" t="str">
        <f>IF('2 Autodeklaration'!F119=0,"",'2 Autodeklaration'!F119)</f>
        <v/>
      </c>
      <c r="I206" s="567"/>
      <c r="J206" s="689"/>
      <c r="K206" s="724" t="str">
        <f t="shared" si="35"/>
        <v>Telefonanschluss</v>
      </c>
      <c r="L206" s="1260"/>
      <c r="M206" s="1284"/>
      <c r="N206" s="1279"/>
      <c r="O206" s="595"/>
      <c r="P206" s="599"/>
      <c r="AA206" s="360" t="str">
        <f>Kriterien!R122</f>
        <v>Telefonanschluss</v>
      </c>
      <c r="AB206" s="361" t="str">
        <f>Kriterien!S122</f>
        <v>une prise téléphone</v>
      </c>
      <c r="AC206" s="364" t="str">
        <f t="shared" si="31"/>
        <v>Telefonanschluss</v>
      </c>
      <c r="AD206" s="673" t="str">
        <f>Kriterien!U122</f>
        <v>Visitation</v>
      </c>
      <c r="AE206" s="622" t="str">
        <f>Kriterien!V122</f>
        <v>Visite</v>
      </c>
      <c r="AF206" s="623" t="str">
        <f t="shared" si="32"/>
        <v>Visitation</v>
      </c>
    </row>
    <row r="207" spans="1:32" s="116" customFormat="1" ht="30" customHeight="1">
      <c r="A207" s="305"/>
      <c r="B207" s="306">
        <f>'2 Autodeklaration'!B120</f>
        <v>0</v>
      </c>
      <c r="C207" s="2157"/>
      <c r="D207" s="300"/>
      <c r="E207" s="581" t="s">
        <v>241</v>
      </c>
      <c r="F207" s="121" t="str">
        <f t="shared" si="34"/>
        <v>Radio- und Fernsehanschluss mit Kopfhörer</v>
      </c>
      <c r="G207" s="544" t="str">
        <f t="shared" si="36"/>
        <v>Visitation</v>
      </c>
      <c r="H207" s="566" t="str">
        <f>IF('2 Autodeklaration'!F120=0,"",'2 Autodeklaration'!F120)</f>
        <v/>
      </c>
      <c r="I207" s="567"/>
      <c r="J207" s="690"/>
      <c r="K207" s="726" t="str">
        <f t="shared" si="35"/>
        <v>Radio- und Fernsehanschluss mit Kopfhörer</v>
      </c>
      <c r="L207" s="1262" t="str">
        <f>AF100&amp;E189&amp;". 
"&amp;F189</f>
        <v>Abschliessender Kommentar Kapitel 3. 
Einrichtung des Patientenplatzes</v>
      </c>
      <c r="M207" s="1284"/>
      <c r="N207" s="1279"/>
      <c r="O207" s="595"/>
      <c r="P207" s="599"/>
      <c r="AA207" s="360" t="str">
        <f>Kriterien!R123</f>
        <v>Radio- und Fernsehanschluss mit Kopfhörer</v>
      </c>
      <c r="AB207" s="361" t="str">
        <f>Kriterien!S123</f>
        <v>une prise radio et télévision avec des écouteurs</v>
      </c>
      <c r="AC207" s="364" t="str">
        <f t="shared" si="31"/>
        <v>Radio- und Fernsehanschluss mit Kopfhörer</v>
      </c>
      <c r="AD207" s="673" t="str">
        <f>Kriterien!U123</f>
        <v>Visitation</v>
      </c>
      <c r="AE207" s="622" t="str">
        <f>Kriterien!V123</f>
        <v>Visite</v>
      </c>
      <c r="AF207" s="623" t="str">
        <f t="shared" si="32"/>
        <v>Visitation</v>
      </c>
    </row>
    <row r="208" spans="1:32" s="116" customFormat="1" ht="30" customHeight="1">
      <c r="A208" s="305"/>
      <c r="B208" s="306"/>
      <c r="C208" s="2157"/>
      <c r="D208" s="433"/>
      <c r="E208" s="579">
        <v>3.4</v>
      </c>
      <c r="F208" s="118" t="str">
        <f t="shared" si="34"/>
        <v>Einrichtungen am Bettplatz</v>
      </c>
      <c r="G208" s="548" t="str">
        <f t="shared" si="36"/>
        <v/>
      </c>
      <c r="H208" s="566" t="str">
        <f>IF('2 Autodeklaration'!F121=0,"",'2 Autodeklaration'!F121)</f>
        <v/>
      </c>
      <c r="I208" s="567"/>
      <c r="J208" s="652"/>
      <c r="K208" s="723" t="str">
        <f t="shared" si="35"/>
        <v>Einrichtungen am Bettplatz</v>
      </c>
      <c r="L208" s="2245"/>
      <c r="M208" s="1284"/>
      <c r="N208" s="1279"/>
      <c r="O208" s="595"/>
      <c r="P208" s="599"/>
      <c r="AA208" s="360" t="str">
        <f>Kriterien!R124</f>
        <v>Einrichtungen am Bettplatz</v>
      </c>
      <c r="AB208" s="361" t="str">
        <f>Kriterien!S124</f>
        <v>Équipements à l'emplacement du lit</v>
      </c>
      <c r="AC208" s="364" t="str">
        <f t="shared" si="31"/>
        <v>Einrichtungen am Bettplatz</v>
      </c>
      <c r="AD208" s="673">
        <f>Kriterien!U124</f>
        <v>0</v>
      </c>
      <c r="AE208" s="622">
        <f>Kriterien!V124</f>
        <v>0</v>
      </c>
      <c r="AF208" s="623" t="str">
        <f t="shared" si="32"/>
        <v/>
      </c>
    </row>
    <row r="209" spans="1:32" s="116" customFormat="1" ht="100" customHeight="1">
      <c r="A209" s="305">
        <f>'2 Autodeklaration'!A122</f>
        <v>0</v>
      </c>
      <c r="B209" s="306"/>
      <c r="C209" s="299"/>
      <c r="D209" s="434"/>
      <c r="E209" s="581" t="s">
        <v>242</v>
      </c>
      <c r="F209" s="120" t="str">
        <f t="shared" si="34"/>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G209" s="544" t="str">
        <f t="shared" si="36"/>
        <v>Visitation</v>
      </c>
      <c r="H209" s="566" t="str">
        <f>IF('2 Autodeklaration'!F122=0,"",'2 Autodeklaration'!F122)</f>
        <v/>
      </c>
      <c r="I209" s="567"/>
      <c r="J209" s="652"/>
      <c r="K209" s="724" t="str">
        <f t="shared" si="35"/>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L209" s="2245"/>
      <c r="M209" s="1284"/>
      <c r="N209" s="1279"/>
      <c r="O209" s="595"/>
      <c r="P209" s="599"/>
      <c r="AA209" s="360" t="str">
        <f>Kriterien!R125</f>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AB209" s="361" t="str">
        <f>Kriterien!S125</f>
        <v>Une surface de dépose et un pupitre destinés aux feuilles de prescription et de surveillance du patient ainsi qu'aux analyses/bilans, ECG et résultats de laboratoire. Ce genre d'installation peut être remplacé par un système informatique (ordinateur) avec possibilité de saisie des données et utilisation au lit du patient.</v>
      </c>
      <c r="AC209" s="364" t="str">
        <f t="shared" si="31"/>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AD209" s="673" t="str">
        <f>Kriterien!U125</f>
        <v>Visitation</v>
      </c>
      <c r="AE209" s="622" t="str">
        <f>Kriterien!V125</f>
        <v>Visite</v>
      </c>
      <c r="AF209" s="623" t="str">
        <f t="shared" si="32"/>
        <v>Visitation</v>
      </c>
    </row>
    <row r="210" spans="1:32" s="116" customFormat="1" ht="30" customHeight="1">
      <c r="A210" s="305"/>
      <c r="B210" s="306">
        <f>'2 Autodeklaration'!B123</f>
        <v>0</v>
      </c>
      <c r="C210" s="2157"/>
      <c r="D210" s="300"/>
      <c r="E210" s="581" t="s">
        <v>243</v>
      </c>
      <c r="F210" s="120" t="str">
        <f t="shared" si="34"/>
        <v>Ein Nachttischchen für die persönlichen Gegenstände des Patienten.</v>
      </c>
      <c r="G210" s="544" t="str">
        <f t="shared" si="36"/>
        <v>Visitation</v>
      </c>
      <c r="H210" s="566" t="str">
        <f>IF('2 Autodeklaration'!F123=0,"",'2 Autodeklaration'!F123)</f>
        <v/>
      </c>
      <c r="I210" s="567"/>
      <c r="J210" s="652"/>
      <c r="K210" s="724" t="str">
        <f t="shared" si="35"/>
        <v>Ein Nachttischchen für die persönlichen Gegenstände des Patienten.</v>
      </c>
      <c r="L210" s="2245"/>
      <c r="M210" s="1284"/>
      <c r="N210" s="1279"/>
      <c r="O210" s="595"/>
      <c r="P210" s="599"/>
      <c r="AA210" s="360" t="str">
        <f>Kriterien!R126</f>
        <v>Ein Nachttischchen für die persönlichen Gegenstände des Patienten.</v>
      </c>
      <c r="AB210" s="361" t="str">
        <f>Kriterien!S126</f>
        <v>Une table de nuit pour les effets personnels du patient.</v>
      </c>
      <c r="AC210" s="364" t="str">
        <f t="shared" si="31"/>
        <v>Ein Nachttischchen für die persönlichen Gegenstände des Patienten.</v>
      </c>
      <c r="AD210" s="673" t="str">
        <f>Kriterien!U126</f>
        <v>Visitation</v>
      </c>
      <c r="AE210" s="622" t="str">
        <f>Kriterien!V126</f>
        <v>Visite</v>
      </c>
      <c r="AF210" s="623" t="str">
        <f t="shared" si="32"/>
        <v>Visitation</v>
      </c>
    </row>
    <row r="211" spans="1:32" s="116" customFormat="1" ht="80" customHeight="1">
      <c r="A211" s="305"/>
      <c r="B211" s="306">
        <f>'2 Autodeklaration'!B124</f>
        <v>0</v>
      </c>
      <c r="C211" s="2157"/>
      <c r="D211" s="300"/>
      <c r="E211" s="581" t="s">
        <v>244</v>
      </c>
      <c r="F211" s="120" t="str">
        <f t="shared" si="34"/>
        <v>Wandschienen oder Äquivalente auf einer Höhe von zirka 40 und 120 cm zur Fixierung von Pflegeutensilien, Therapie- und Überwachungsgeräten. Deckenschienen und/oder Konsolen zur Aufhängung von Infusionen, Per-fusoren, Infusomaten und anderen Apparaturen.</v>
      </c>
      <c r="G211" s="544" t="str">
        <f t="shared" si="36"/>
        <v>Visitation</v>
      </c>
      <c r="H211" s="566" t="str">
        <f>IF('2 Autodeklaration'!F124=0,"",'2 Autodeklaration'!F124)</f>
        <v/>
      </c>
      <c r="I211" s="567"/>
      <c r="J211" s="652"/>
      <c r="K211" s="724" t="str">
        <f t="shared" si="35"/>
        <v>Wandschienen oder Äquivalente auf einer Höhe von zirka 40 und 120 cm zur Fixierung von Pflegeutensilien, Therapie- und Überwachungsgeräten. Deckenschienen und/oder Konsolen zur Aufhängung von Infusionen, Per-fusoren, Infusomaten und anderen Apparaturen.</v>
      </c>
      <c r="L211" s="2245"/>
      <c r="M211" s="1284"/>
      <c r="N211" s="1279"/>
      <c r="O211" s="595"/>
      <c r="P211" s="599"/>
      <c r="AA211" s="360" t="str">
        <f>Kriterien!R127</f>
        <v>Wandschienen oder Äquivalente auf einer Höhe von zirka 40 und 120 cm zur Fixierung von Pflegeutensilien, Therapie- und Überwachungsgeräten. Deckenschienen und/oder Konsolen zur Aufhängung von Infusionen, Per-fusoren, Infusomaten und anderen Apparaturen.</v>
      </c>
      <c r="AB211" s="361" t="str">
        <f>Kriterien!S127</f>
        <v>Des rails muraux ou équivalents fixés à environ 40 et 120 cm du sol, et destinés à l'ancrage des dispositifs de soins, traitement et monitorage. Des consoles et/ou tringles suspendues au plafond dans le but d'y accrocher les perfusions, pousse-seringues, pompes volumétriques ou autres appareils.</v>
      </c>
      <c r="AC211" s="364" t="str">
        <f t="shared" si="31"/>
        <v>Wandschienen oder Äquivalente auf einer Höhe von zirka 40 und 120 cm zur Fixierung von Pflegeutensilien, Therapie- und Überwachungsgeräten. Deckenschienen und/oder Konsolen zur Aufhängung von Infusionen, Per-fusoren, Infusomaten und anderen Apparaturen.</v>
      </c>
      <c r="AD211" s="673" t="str">
        <f>Kriterien!U127</f>
        <v>Visitation</v>
      </c>
      <c r="AE211" s="622" t="str">
        <f>Kriterien!V127</f>
        <v>Visite</v>
      </c>
      <c r="AF211" s="623" t="str">
        <f t="shared" si="32"/>
        <v>Visitation</v>
      </c>
    </row>
    <row r="212" spans="1:32" s="116" customFormat="1" ht="60" customHeight="1" thickBot="1">
      <c r="A212" s="305"/>
      <c r="B212" s="306">
        <f>'2 Autodeklaration'!B125</f>
        <v>0</v>
      </c>
      <c r="C212" s="2157"/>
      <c r="D212" s="300"/>
      <c r="E212" s="581" t="s">
        <v>245</v>
      </c>
      <c r="F212" s="120" t="str">
        <f t="shared" si="34"/>
        <v>Die Anordnung der Einrichtungen muss mit den vorhandenen Mitteln in einer Weise möglich sein, dass sie selbst frei zugänglich bleiben und auch der Zugang zum Patienten nicht behindert wird.</v>
      </c>
      <c r="G212" s="544" t="str">
        <f t="shared" si="36"/>
        <v>Visitation</v>
      </c>
      <c r="H212" s="566" t="str">
        <f>IF('2 Autodeklaration'!F125=0,"",'2 Autodeklaration'!F125)</f>
        <v/>
      </c>
      <c r="I212" s="567"/>
      <c r="J212" s="652"/>
      <c r="K212" s="724" t="str">
        <f t="shared" si="35"/>
        <v>Die Anordnung der Einrichtungen muss mit den vorhandenen Mitteln in einer Weise möglich sein, dass sie selbst frei zugänglich bleiben und auch der Zugang zum Patienten nicht behindert wird.</v>
      </c>
      <c r="L212" s="2246"/>
      <c r="M212" s="1284"/>
      <c r="N212" s="1279"/>
      <c r="O212" s="595"/>
      <c r="P212" s="599"/>
      <c r="AA212" s="360" t="str">
        <f>Kriterien!R128</f>
        <v>Die Anordnung der Einrichtungen muss mit den vorhandenen Mitteln in einer Weise möglich sein, dass sie selbst frei zugänglich bleiben und auch der Zugang zum Patienten nicht behindert wird.</v>
      </c>
      <c r="AB212" s="361" t="str">
        <f>Kriterien!S128</f>
        <v>Compte tenu des moyens disponibles, l’agencement des équipements doit être conçu de manière à être aisément accessibles sans entraver l’accès au patient.</v>
      </c>
      <c r="AC212" s="364" t="str">
        <f t="shared" ref="AC212:AC275" si="37">IF(AA212=0,"",IF($A$1="D",AA212,AB212))</f>
        <v>Die Anordnung der Einrichtungen muss mit den vorhandenen Mitteln in einer Weise möglich sein, dass sie selbst frei zugänglich bleiben und auch der Zugang zum Patienten nicht behindert wird.</v>
      </c>
      <c r="AD212" s="673" t="str">
        <f>Kriterien!U128</f>
        <v>Visitation</v>
      </c>
      <c r="AE212" s="622" t="str">
        <f>Kriterien!V128</f>
        <v>Visite</v>
      </c>
      <c r="AF212" s="623" t="str">
        <f t="shared" ref="AF212:AF275" si="38">IF(AD212=0,"",IF($A$1="D",AD212,AE212))</f>
        <v>Visitation</v>
      </c>
    </row>
    <row r="213" spans="1:32" s="116" customFormat="1" ht="30" customHeight="1">
      <c r="A213" s="439"/>
      <c r="B213" s="440"/>
      <c r="C213" s="2159"/>
      <c r="D213" s="432"/>
      <c r="E213" s="39">
        <v>4</v>
      </c>
      <c r="F213" s="117" t="str">
        <f t="shared" si="34"/>
        <v>Personal</v>
      </c>
      <c r="G213" s="550" t="str">
        <f t="shared" si="36"/>
        <v/>
      </c>
      <c r="H213" s="568" t="str">
        <f>IF('2 Autodeklaration'!F126=0,"",'2 Autodeklaration'!F126)</f>
        <v/>
      </c>
      <c r="I213" s="565"/>
      <c r="J213" s="691"/>
      <c r="K213" s="722" t="str">
        <f t="shared" si="35"/>
        <v>Personal</v>
      </c>
      <c r="L213" s="1259"/>
      <c r="M213" s="1284"/>
      <c r="N213" s="1279"/>
      <c r="O213" s="595"/>
      <c r="P213" s="599"/>
      <c r="AA213" s="360" t="str">
        <f>Kriterien!R129</f>
        <v>Personal</v>
      </c>
      <c r="AB213" s="361" t="str">
        <f>Kriterien!S129</f>
        <v>Personnel</v>
      </c>
      <c r="AC213" s="364" t="str">
        <f t="shared" si="37"/>
        <v>Personal</v>
      </c>
      <c r="AD213" s="673">
        <f>Kriterien!U129</f>
        <v>0</v>
      </c>
      <c r="AE213" s="622">
        <f>Kriterien!V129</f>
        <v>0</v>
      </c>
      <c r="AF213" s="623" t="str">
        <f t="shared" si="38"/>
        <v/>
      </c>
    </row>
    <row r="214" spans="1:32" s="116" customFormat="1" ht="30" customHeight="1">
      <c r="A214" s="305"/>
      <c r="B214" s="306"/>
      <c r="C214" s="2157"/>
      <c r="D214" s="433"/>
      <c r="E214" s="579">
        <v>4.0999999999999996</v>
      </c>
      <c r="F214" s="118" t="str">
        <f t="shared" si="34"/>
        <v>Ärztlicher Dienst</v>
      </c>
      <c r="G214" s="548" t="str">
        <f t="shared" si="36"/>
        <v/>
      </c>
      <c r="H214" s="566" t="str">
        <f>IF('2 Autodeklaration'!F127=0,"",'2 Autodeklaration'!F127)</f>
        <v/>
      </c>
      <c r="I214" s="567"/>
      <c r="J214" s="688"/>
      <c r="K214" s="723" t="str">
        <f t="shared" si="35"/>
        <v>Ärztlicher Dienst</v>
      </c>
      <c r="L214" s="1256"/>
      <c r="M214" s="1284"/>
      <c r="N214" s="1279"/>
      <c r="O214" s="595"/>
      <c r="P214" s="599"/>
      <c r="AA214" s="360" t="str">
        <f>Kriterien!R130</f>
        <v>Ärztlicher Dienst</v>
      </c>
      <c r="AB214" s="361" t="str">
        <f>Kriterien!S130</f>
        <v>Couverture médicale</v>
      </c>
      <c r="AC214" s="364" t="str">
        <f t="shared" si="37"/>
        <v>Ärztlicher Dienst</v>
      </c>
      <c r="AD214" s="673">
        <f>Kriterien!U130</f>
        <v>0</v>
      </c>
      <c r="AE214" s="622">
        <f>Kriterien!V130</f>
        <v>0</v>
      </c>
      <c r="AF214" s="623" t="str">
        <f t="shared" si="38"/>
        <v/>
      </c>
    </row>
    <row r="215" spans="1:32" s="116" customFormat="1" ht="30" customHeight="1">
      <c r="A215" s="305"/>
      <c r="B215" s="306"/>
      <c r="C215" s="2157"/>
      <c r="D215" s="433"/>
      <c r="E215" s="582" t="s">
        <v>93</v>
      </c>
      <c r="F215" s="127" t="str">
        <f t="shared" si="34"/>
        <v>Der ärztliche Leiter</v>
      </c>
      <c r="G215" s="549" t="str">
        <f t="shared" si="36"/>
        <v/>
      </c>
      <c r="H215" s="566" t="str">
        <f>IF('2 Autodeklaration'!F128=0,"",'2 Autodeklaration'!F128)</f>
        <v/>
      </c>
      <c r="I215" s="567"/>
      <c r="J215" s="688"/>
      <c r="K215" s="727" t="str">
        <f t="shared" si="35"/>
        <v>Der ärztliche Leiter</v>
      </c>
      <c r="L215" s="1256"/>
      <c r="M215" s="1284"/>
      <c r="N215" s="1279"/>
      <c r="O215" s="595"/>
      <c r="P215" s="599"/>
      <c r="AA215" s="360" t="str">
        <f>Kriterien!R131</f>
        <v>Der ärztliche Leiter</v>
      </c>
      <c r="AB215" s="361" t="str">
        <f>Kriterien!S131</f>
        <v>Le médecin responsable de l'USI</v>
      </c>
      <c r="AC215" s="364" t="str">
        <f t="shared" si="37"/>
        <v>Der ärztliche Leiter</v>
      </c>
      <c r="AD215" s="673">
        <f>Kriterien!U131</f>
        <v>0</v>
      </c>
      <c r="AE215" s="622">
        <f>Kriterien!V131</f>
        <v>0</v>
      </c>
      <c r="AF215" s="623" t="str">
        <f t="shared" si="38"/>
        <v/>
      </c>
    </row>
    <row r="216" spans="1:32" s="116" customFormat="1" ht="40" customHeight="1">
      <c r="A216" s="305">
        <f>'2 Autodeklaration'!A129</f>
        <v>0</v>
      </c>
      <c r="B216" s="306"/>
      <c r="C216" s="299"/>
      <c r="D216" s="433"/>
      <c r="E216" s="581" t="s">
        <v>246</v>
      </c>
      <c r="F216" s="120" t="str">
        <f t="shared" si="34"/>
        <v>Medizinisch und administrativ verantwortlich für die IS (zum Teil gemeinsam mit der pflegerischen Leitung)</v>
      </c>
      <c r="G216" s="544" t="str">
        <f t="shared" si="36"/>
        <v>Reglement und Visitation</v>
      </c>
      <c r="H216" s="566" t="str">
        <f>IF('2 Autodeklaration'!F129=0,"",'2 Autodeklaration'!F129)</f>
        <v/>
      </c>
      <c r="I216" s="567"/>
      <c r="J216" s="688"/>
      <c r="K216" s="724" t="str">
        <f t="shared" si="35"/>
        <v>Medizinisch und administrativ verantwortlich für die IS (zum Teil gemeinsam mit der pflegerischen Leitung)</v>
      </c>
      <c r="L216" s="1256"/>
      <c r="M216" s="1284"/>
      <c r="N216" s="1279"/>
      <c r="O216" s="595"/>
      <c r="P216" s="599"/>
      <c r="AA216" s="360" t="str">
        <f>Kriterien!R132</f>
        <v>Medizinisch und administrativ verantwortlich für die IS (zum Teil gemeinsam mit der pflegerischen Leitung)</v>
      </c>
      <c r="AB216" s="361" t="str">
        <f>Kriterien!S132</f>
        <v>Il est le responsable médical et administratif de l'unité des soins intensifs (et partage en partie sa mission avec le responsable des soins infirmiers).</v>
      </c>
      <c r="AC216" s="364" t="str">
        <f t="shared" si="37"/>
        <v>Medizinisch und administrativ verantwortlich für die IS (zum Teil gemeinsam mit der pflegerischen Leitung)</v>
      </c>
      <c r="AD216" s="673" t="str">
        <f>Kriterien!U132</f>
        <v>Reglement und Visitation</v>
      </c>
      <c r="AE216" s="622" t="str">
        <f>Kriterien!V132</f>
        <v>Règlement et visite</v>
      </c>
      <c r="AF216" s="623" t="str">
        <f t="shared" si="38"/>
        <v>Reglement und Visitation</v>
      </c>
    </row>
    <row r="217" spans="1:32" s="116" customFormat="1" ht="60" customHeight="1">
      <c r="A217" s="305">
        <f>'2 Autodeklaration'!A130</f>
        <v>0</v>
      </c>
      <c r="B217" s="306"/>
      <c r="C217" s="299"/>
      <c r="D217" s="433"/>
      <c r="E217" s="581" t="s">
        <v>247</v>
      </c>
      <c r="F217" s="122" t="str">
        <f t="shared" si="34"/>
        <v>Die administrative Verantwortung umfasst die allgemeine Organisation der IS sowie die Verbindungen mit den medizinischen und administrativen Gremien des Spitals, der SGI, der Dachorganisation, der FMH und weiteren Gremien.</v>
      </c>
      <c r="G217" s="544" t="str">
        <f t="shared" si="36"/>
        <v>Reglement und Visitation</v>
      </c>
      <c r="H217" s="566" t="str">
        <f>IF('2 Autodeklaration'!F130=0,"",'2 Autodeklaration'!F130)</f>
        <v/>
      </c>
      <c r="I217" s="567"/>
      <c r="J217" s="688"/>
      <c r="K217" s="725" t="str">
        <f t="shared" si="35"/>
        <v>Die administrative Verantwortung umfasst die allgemeine Organisation der IS sowie die Verbindungen mit den medizinischen und administrativen Gremien des Spitals, der SGI, der Dachorganisation, der FMH und weiteren Gremien.</v>
      </c>
      <c r="L217" s="1256"/>
      <c r="M217" s="1284"/>
      <c r="N217" s="1279"/>
      <c r="O217" s="595"/>
      <c r="P217" s="599"/>
      <c r="AA217" s="360" t="str">
        <f>Kriterien!R133</f>
        <v>Die administrative Verantwortung umfasst die allgemeine Organisation der IS sowie die Verbindungen mit den medizinischen und administrativen Gremien des Spitals, der SGI, der Dachorganisation, der FMH und weiteren Gremien.</v>
      </c>
      <c r="AB217" s="361" t="str">
        <f>Kriterien!S133</f>
        <v>La responsabilité administrative comprend l'organisation générale de l’USI, ainsi que les relations avec les autorités médicales et administratives de l'hôpital, de la SSMI, de l'organisation faîtière, de la FMH et autres comités.</v>
      </c>
      <c r="AC217" s="364" t="str">
        <f t="shared" si="37"/>
        <v>Die administrative Verantwortung umfasst die allgemeine Organisation der IS sowie die Verbindungen mit den medizinischen und administrativen Gremien des Spitals, der SGI, der Dachorganisation, der FMH und weiteren Gremien.</v>
      </c>
      <c r="AD217" s="673" t="str">
        <f>Kriterien!U133</f>
        <v>Reglement und Visitation</v>
      </c>
      <c r="AE217" s="622" t="str">
        <f>Kriterien!V133</f>
        <v>Règlement et visite</v>
      </c>
      <c r="AF217" s="623" t="str">
        <f t="shared" si="38"/>
        <v>Reglement und Visitation</v>
      </c>
    </row>
    <row r="218" spans="1:32" s="116" customFormat="1" ht="94" customHeight="1">
      <c r="A218" s="305">
        <f>'2 Autodeklaration'!A131</f>
        <v>0</v>
      </c>
      <c r="B218" s="306"/>
      <c r="C218" s="299"/>
      <c r="D218" s="433"/>
      <c r="E218" s="581" t="s">
        <v>248</v>
      </c>
      <c r="F218" s="124" t="str">
        <f t="shared" si="34"/>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G218" s="544" t="str">
        <f t="shared" si="36"/>
        <v>Reglement und Visitation</v>
      </c>
      <c r="H218" s="566" t="str">
        <f>IF('2 Autodeklaration'!F131=0,"",'2 Autodeklaration'!F131)</f>
        <v/>
      </c>
      <c r="I218" s="567"/>
      <c r="J218" s="688"/>
      <c r="K218" s="728" t="str">
        <f t="shared" si="35"/>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L218" s="1256"/>
      <c r="M218" s="1284"/>
      <c r="N218" s="1279"/>
      <c r="O218" s="595"/>
      <c r="P218" s="599"/>
      <c r="AA218" s="360" t="str">
        <f>Kriterien!R134</f>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AB218" s="361" t="str">
        <f>Kriterien!S134</f>
        <v>La prise en charge de tous les patients dans l’USI est sous la direction et la responsabilité du médecin responsable de l’Unité. Il peut déléguer certaines tâches tant à ses collaborateurs médicaux qu'à des médecins d'autres disciplines, et ce dans le champ de compétences spécifique de ces derniers.</v>
      </c>
      <c r="AC218" s="364" t="str">
        <f t="shared" si="37"/>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AD218" s="673" t="str">
        <f>Kriterien!U134</f>
        <v>Reglement und Visitation</v>
      </c>
      <c r="AE218" s="622" t="str">
        <f>Kriterien!V134</f>
        <v>Règlement et visite</v>
      </c>
      <c r="AF218" s="623" t="str">
        <f t="shared" si="38"/>
        <v>Reglement und Visitation</v>
      </c>
    </row>
    <row r="219" spans="1:32" s="116" customFormat="1" ht="40" customHeight="1">
      <c r="A219" s="305">
        <f>'2 Autodeklaration'!A132</f>
        <v>0</v>
      </c>
      <c r="B219" s="306"/>
      <c r="C219" s="299"/>
      <c r="D219" s="433"/>
      <c r="E219" s="581" t="s">
        <v>249</v>
      </c>
      <c r="F219" s="124" t="str">
        <f t="shared" si="34"/>
        <v xml:space="preserve">Er ist verantwortlich für die intensivmedizinischen Behandlungs-Richtlinien und deren Umsetzung. </v>
      </c>
      <c r="G219" s="544" t="str">
        <f t="shared" si="36"/>
        <v>Reglement und Visitation</v>
      </c>
      <c r="H219" s="566" t="str">
        <f>IF('2 Autodeklaration'!F132=0,"",'2 Autodeklaration'!F132)</f>
        <v/>
      </c>
      <c r="I219" s="567"/>
      <c r="J219" s="688"/>
      <c r="K219" s="728" t="str">
        <f t="shared" si="35"/>
        <v xml:space="preserve">Er ist verantwortlich für die intensivmedizinischen Behandlungs-Richtlinien und deren Umsetzung. </v>
      </c>
      <c r="L219" s="1256"/>
      <c r="M219" s="1284"/>
      <c r="N219" s="1279"/>
      <c r="O219" s="595"/>
      <c r="P219" s="599"/>
      <c r="AA219" s="360" t="str">
        <f>Kriterien!R135</f>
        <v xml:space="preserve">Er ist verantwortlich für die intensivmedizinischen Behandlungs-Richtlinien und deren Umsetzung. </v>
      </c>
      <c r="AB219" s="361" t="str">
        <f>Kriterien!S135</f>
        <v xml:space="preserve">Il est responsable des directives médicales aux soins intensifs et de leur application. </v>
      </c>
      <c r="AC219" s="364" t="str">
        <f t="shared" si="37"/>
        <v xml:space="preserve">Er ist verantwortlich für die intensivmedizinischen Behandlungs-Richtlinien und deren Umsetzung. </v>
      </c>
      <c r="AD219" s="673" t="str">
        <f>Kriterien!U135</f>
        <v>Reglement und Visitation</v>
      </c>
      <c r="AE219" s="622" t="str">
        <f>Kriterien!V135</f>
        <v>Règlement et visite</v>
      </c>
      <c r="AF219" s="623" t="str">
        <f t="shared" si="38"/>
        <v>Reglement und Visitation</v>
      </c>
    </row>
    <row r="220" spans="1:32" s="116" customFormat="1" ht="105">
      <c r="A220" s="305">
        <f>'2 Autodeklaration'!A133</f>
        <v>0</v>
      </c>
      <c r="B220" s="306"/>
      <c r="C220" s="299"/>
      <c r="D220" s="433"/>
      <c r="E220" s="581" t="s">
        <v>250</v>
      </c>
      <c r="F220" s="126" t="str">
        <f t="shared" si="34"/>
        <v xml:space="preserve">Der ärztliche Leiter oder die von ihm bezeichneten für die IS zuständigen Ärzte sind verantwortlich für die Bettendisposition der IS und entscheiden über Aufnahme und Entlassung von Patienten. </v>
      </c>
      <c r="G220" s="544" t="str">
        <f t="shared" si="36"/>
        <v>Reglement und Visitation</v>
      </c>
      <c r="H220" s="566" t="str">
        <f>IF('2 Autodeklaration'!F133=0,"",'2 Autodeklaration'!F133)</f>
        <v/>
      </c>
      <c r="I220" s="567"/>
      <c r="J220" s="688"/>
      <c r="K220" s="733" t="str">
        <f t="shared" si="35"/>
        <v xml:space="preserve">Der ärztliche Leiter oder die von ihm bezeichneten für die IS zuständigen Ärzte sind verantwortlich für die Bettendisposition der IS und entscheiden über Aufnahme und Entlassung von Patienten. </v>
      </c>
      <c r="L220" s="1256"/>
      <c r="M220" s="1284"/>
      <c r="N220" s="1279"/>
      <c r="O220" s="595"/>
      <c r="P220" s="599"/>
      <c r="AA220" s="360" t="str">
        <f>Kriterien!R136</f>
        <v xml:space="preserve">Der ärztliche Leiter oder die von ihm bezeichneten für die IS zuständigen Ärzte sind verantwortlich für die Bettendisposition der IS und entscheiden über Aufnahme und Entlassung von Patienten. </v>
      </c>
      <c r="AB220" s="361" t="str">
        <f>Kriterien!S136</f>
        <v xml:space="preserve">Le responsable médical ou les médecins désignés par lui au sein de l'USI sont responsables de la gestion du flux dans l'Unité et décident de l'admission et de la sortie des patients. </v>
      </c>
      <c r="AC220" s="364" t="str">
        <f t="shared" si="37"/>
        <v xml:space="preserve">Der ärztliche Leiter oder die von ihm bezeichneten für die IS zuständigen Ärzte sind verantwortlich für die Bettendisposition der IS und entscheiden über Aufnahme und Entlassung von Patienten. </v>
      </c>
      <c r="AD220" s="673" t="str">
        <f>Kriterien!U136</f>
        <v>Reglement und Visitation</v>
      </c>
      <c r="AE220" s="622" t="str">
        <f>Kriterien!V136</f>
        <v>Règlement et visite</v>
      </c>
      <c r="AF220" s="623" t="str">
        <f t="shared" si="38"/>
        <v>Reglement und Visitation</v>
      </c>
    </row>
    <row r="221" spans="1:32" s="116" customFormat="1" ht="90">
      <c r="A221" s="305">
        <f>'2 Autodeklaration'!A134</f>
        <v>0</v>
      </c>
      <c r="B221" s="306"/>
      <c r="C221" s="299"/>
      <c r="D221" s="433"/>
      <c r="E221" s="581" t="s">
        <v>251</v>
      </c>
      <c r="F221" s="120" t="str">
        <f t="shared" si="34"/>
        <v>Der ärztliche Leiter ist für die Organisation und Durchführung der Weiter- und Fortbildung von Ärzteschaft und Pflegepersonal der IS mitverantwortlich und daran mitbeteiligt.</v>
      </c>
      <c r="G221" s="544" t="str">
        <f t="shared" si="36"/>
        <v>Reglement und Visitation</v>
      </c>
      <c r="H221" s="566" t="str">
        <f>IF('2 Autodeklaration'!F134=0,"",'2 Autodeklaration'!F134)</f>
        <v/>
      </c>
      <c r="I221" s="567"/>
      <c r="J221" s="688"/>
      <c r="K221" s="724" t="str">
        <f t="shared" si="35"/>
        <v>Der ärztliche Leiter ist für die Organisation und Durchführung der Weiter- und Fortbildung von Ärzteschaft und Pflegepersonal der IS mitverantwortlich und daran mitbeteiligt.</v>
      </c>
      <c r="L221" s="1256"/>
      <c r="M221" s="1284"/>
      <c r="N221" s="1279"/>
      <c r="O221" s="595"/>
      <c r="P221" s="599"/>
      <c r="AA221" s="360" t="str">
        <f>Kriterien!R137</f>
        <v>Der ärztliche Leiter ist für die Organisation und Durchführung der Weiter- und Fortbildung von Ärzteschaft und Pflegepersonal der IS mitverantwortlich und daran mitbeteiligt.</v>
      </c>
      <c r="AB221" s="361" t="str">
        <f>Kriterien!S137</f>
        <v>Il est co-responsable de l’organisation des formations postgraduées et continues en médecine intensive des médecins et du personnel soignant de l'USI et il y participe.</v>
      </c>
      <c r="AC221" s="364" t="str">
        <f t="shared" si="37"/>
        <v>Der ärztliche Leiter ist für die Organisation und Durchführung der Weiter- und Fortbildung von Ärzteschaft und Pflegepersonal der IS mitverantwortlich und daran mitbeteiligt.</v>
      </c>
      <c r="AD221" s="673" t="str">
        <f>Kriterien!U137</f>
        <v>Reglement und Visitation</v>
      </c>
      <c r="AE221" s="622" t="str">
        <f>Kriterien!V137</f>
        <v>Règlement et visite</v>
      </c>
      <c r="AF221" s="623" t="str">
        <f t="shared" si="38"/>
        <v>Reglement und Visitation</v>
      </c>
    </row>
    <row r="222" spans="1:32" s="116" customFormat="1" ht="126" customHeight="1">
      <c r="A222" s="305">
        <f>'2 Autodeklaration'!A135</f>
        <v>0</v>
      </c>
      <c r="B222" s="306"/>
      <c r="C222" s="299"/>
      <c r="D222" s="433"/>
      <c r="E222" s="581" t="s">
        <v>252</v>
      </c>
      <c r="F222" s="120" t="str">
        <f t="shared" si="34"/>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G222" s="544" t="str">
        <f t="shared" si="36"/>
        <v>Reglement und Visitation</v>
      </c>
      <c r="H222" s="566" t="str">
        <f>IF('2 Autodeklaration'!F135=0,"",'2 Autodeklaration'!F135)</f>
        <v/>
      </c>
      <c r="I222" s="567"/>
      <c r="J222" s="688"/>
      <c r="K222" s="724" t="str">
        <f t="shared" si="35"/>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L222" s="1256"/>
      <c r="M222" s="1284"/>
      <c r="N222" s="1279"/>
      <c r="O222" s="595"/>
      <c r="P222" s="599"/>
      <c r="AA222" s="360" t="str">
        <f>Kriterien!R138</f>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AB222" s="361" t="str">
        <f>Kriterien!S138</f>
        <v>Il est porteur du titre fédéral de spécialiste en médecine intensive. À titre exceptionnel, le comité de la SSMI peut reconnaître une unité de soins dont le responsable n'est pas porteur du titre fédéral, mais qui dispose toutefois d'un titre équivalent à la formation fédérale postgraduée en médecine intensive. La confirmation de l'équivalence à la formation en médecine intensive ne peut être délivrée que par le comité de la SSMI.</v>
      </c>
      <c r="AC222" s="364" t="str">
        <f t="shared" si="37"/>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AD222" s="673" t="str">
        <f>Kriterien!U138</f>
        <v>Reglement und Visitation</v>
      </c>
      <c r="AE222" s="622" t="str">
        <f>Kriterien!V138</f>
        <v>Règlement et visite</v>
      </c>
      <c r="AF222" s="623" t="str">
        <f t="shared" si="38"/>
        <v>Reglement und Visitation</v>
      </c>
    </row>
    <row r="223" spans="1:32" s="116" customFormat="1" ht="54.75" customHeight="1">
      <c r="A223" s="305">
        <f>'2 Autodeklaration'!A136</f>
        <v>0</v>
      </c>
      <c r="B223" s="306"/>
      <c r="C223" s="299"/>
      <c r="D223" s="433"/>
      <c r="E223" s="581" t="s">
        <v>253</v>
      </c>
      <c r="F223" s="120" t="str">
        <f t="shared" si="34"/>
        <v>Der ärztliche Leiter ist in dieser Funktion unbefristet angestellt. In einem Rotationssystem sind Leitungswechsel höchstens alle 3 Jahre erlaubt.</v>
      </c>
      <c r="G223" s="544" t="str">
        <f t="shared" si="36"/>
        <v>Reglement und Visitation</v>
      </c>
      <c r="H223" s="566" t="str">
        <f>IF('2 Autodeklaration'!F136=0,"",'2 Autodeklaration'!F136)</f>
        <v/>
      </c>
      <c r="I223" s="567"/>
      <c r="J223" s="688"/>
      <c r="K223" s="724" t="str">
        <f t="shared" si="35"/>
        <v>Der ärztliche Leiter ist in dieser Funktion unbefristet angestellt. In einem Rotationssystem sind Leitungswechsel höchstens alle 3 Jahre erlaubt.</v>
      </c>
      <c r="L223" s="1256"/>
      <c r="M223" s="1284"/>
      <c r="N223" s="1279"/>
      <c r="O223" s="595"/>
      <c r="P223" s="599"/>
      <c r="AA223" s="360" t="str">
        <f>Kriterien!R139</f>
        <v>Der ärztliche Leiter ist in dieser Funktion unbefristet angestellt. In einem Rotationssystem sind Leitungswechsel höchstens alle 3 Jahre erlaubt.</v>
      </c>
      <c r="AB223" s="361" t="str">
        <f>Kriterien!S139</f>
        <v>Le responsable médical est engagé à ce poste pour une durée illimitée. Un changement de direction n'est autorisé, dans un système de rotation, au plus tôt après trois ans .</v>
      </c>
      <c r="AC223" s="364" t="str">
        <f t="shared" si="37"/>
        <v>Der ärztliche Leiter ist in dieser Funktion unbefristet angestellt. In einem Rotationssystem sind Leitungswechsel höchstens alle 3 Jahre erlaubt.</v>
      </c>
      <c r="AD223" s="673" t="str">
        <f>Kriterien!U139</f>
        <v>Reglement und Visitation</v>
      </c>
      <c r="AE223" s="622" t="str">
        <f>Kriterien!V139</f>
        <v>Règlement et visite</v>
      </c>
      <c r="AF223" s="623" t="str">
        <f t="shared" si="38"/>
        <v>Reglement und Visitation</v>
      </c>
    </row>
    <row r="224" spans="1:32" s="116" customFormat="1" ht="80.25" customHeight="1">
      <c r="A224" s="305">
        <f>'2 Autodeklaration'!A137</f>
        <v>0</v>
      </c>
      <c r="B224" s="306"/>
      <c r="C224" s="299"/>
      <c r="D224" s="433"/>
      <c r="E224" s="581" t="s">
        <v>254</v>
      </c>
      <c r="F224" s="120" t="str">
        <f t="shared" si="34"/>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G224" s="544" t="str">
        <f t="shared" si="36"/>
        <v>Reglement und Visitation</v>
      </c>
      <c r="H224" s="566" t="str">
        <f>IF('2 Autodeklaration'!F137=0,"",'2 Autodeklaration'!F137)</f>
        <v/>
      </c>
      <c r="I224" s="567"/>
      <c r="J224" s="688"/>
      <c r="K224" s="724" t="str">
        <f t="shared" si="35"/>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L224" s="1256"/>
      <c r="M224" s="1284"/>
      <c r="N224" s="1279"/>
      <c r="O224" s="595"/>
      <c r="P224" s="599"/>
      <c r="AA224" s="360" t="str">
        <f>Kriterien!R140</f>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AB224" s="361" t="str">
        <f>Kriterien!S140</f>
        <v>Le médecin responsable doit avoir un suppléant porteur d’un titre de spécialiste fédéral (ou d’un certificat d’équivalence) en médecine intensive ou en anesthésie/médecine interne/chirurgie/pédiatrie, pouvant prouver 6 mois de formation postgraduée en médecine intensive.</v>
      </c>
      <c r="AC224" s="364" t="str">
        <f t="shared" si="37"/>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AD224" s="673" t="str">
        <f>Kriterien!U140</f>
        <v>Reglement und Visitation</v>
      </c>
      <c r="AE224" s="622" t="str">
        <f>Kriterien!V140</f>
        <v>Règlement et visite</v>
      </c>
      <c r="AF224" s="623" t="str">
        <f t="shared" si="38"/>
        <v>Reglement und Visitation</v>
      </c>
    </row>
    <row r="225" spans="1:32" s="116" customFormat="1" ht="113.25" customHeight="1">
      <c r="A225" s="305">
        <f>'2 Autodeklaration'!A138</f>
        <v>0</v>
      </c>
      <c r="B225" s="306"/>
      <c r="C225" s="299"/>
      <c r="D225" s="433"/>
      <c r="E225" s="581" t="s">
        <v>255</v>
      </c>
      <c r="F225" s="120" t="str">
        <f t="shared" si="34"/>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G225" s="544" t="str">
        <f t="shared" si="36"/>
        <v>Reglement und Visitation</v>
      </c>
      <c r="H225" s="566" t="str">
        <f>IF('2 Autodeklaration'!F138=0,"",'2 Autodeklaration'!F138)</f>
        <v/>
      </c>
      <c r="I225" s="567"/>
      <c r="J225" s="688"/>
      <c r="K225" s="724" t="str">
        <f t="shared" si="35"/>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L225" s="1256"/>
      <c r="M225" s="1284"/>
      <c r="N225" s="1279"/>
      <c r="O225" s="595"/>
      <c r="P225" s="599"/>
      <c r="AA225" s="360" t="str">
        <f>Kriterien!R141</f>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AB225" s="361" t="str">
        <f>Kriterien!S141</f>
        <v>Le temps de travail minimal durant lequel le médecin responsable de l’USI et son suppléant se consacrent à l’USI (tâches administratives et formation incluses) est de 160 % pour les Unités de 12 lits ou plus, 120 % pour les Unités de 8 à 11 lits et 80 % pour les Unités plus petites (50 % pour les Unités de soins intensifs (USI) extraordinaires, correspondant au nombre de prestations réduit).</v>
      </c>
      <c r="AC225" s="364" t="str">
        <f t="shared" si="37"/>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AD225" s="673" t="str">
        <f>Kriterien!U141</f>
        <v>Reglement und Visitation</v>
      </c>
      <c r="AE225" s="622" t="str">
        <f>Kriterien!V141</f>
        <v>Règlement et visite</v>
      </c>
      <c r="AF225" s="623" t="str">
        <f t="shared" si="38"/>
        <v>Reglement und Visitation</v>
      </c>
    </row>
    <row r="226" spans="1:32" s="116" customFormat="1" ht="30" customHeight="1">
      <c r="A226" s="305"/>
      <c r="B226" s="306"/>
      <c r="C226" s="2157"/>
      <c r="D226" s="433"/>
      <c r="E226" s="581" t="s">
        <v>160</v>
      </c>
      <c r="F226" s="125" t="str">
        <f t="shared" si="34"/>
        <v>Dienstorganisation</v>
      </c>
      <c r="G226" s="551" t="str">
        <f t="shared" si="36"/>
        <v/>
      </c>
      <c r="H226" s="566" t="str">
        <f>IF('2 Autodeklaration'!F139=0,"",'2 Autodeklaration'!F139)</f>
        <v/>
      </c>
      <c r="I226" s="567"/>
      <c r="J226" s="688"/>
      <c r="K226" s="731" t="str">
        <f t="shared" si="35"/>
        <v>Dienstorganisation</v>
      </c>
      <c r="L226" s="1256"/>
      <c r="M226" s="1284"/>
      <c r="N226" s="1279"/>
      <c r="O226" s="595"/>
      <c r="P226" s="599"/>
      <c r="AA226" s="360" t="str">
        <f>Kriterien!R142</f>
        <v>Dienstorganisation</v>
      </c>
      <c r="AB226" s="361" t="str">
        <f>Kriterien!S142</f>
        <v>Organisation de la garde</v>
      </c>
      <c r="AC226" s="364" t="str">
        <f t="shared" si="37"/>
        <v>Dienstorganisation</v>
      </c>
      <c r="AD226" s="673">
        <f>Kriterien!U142</f>
        <v>0</v>
      </c>
      <c r="AE226" s="622">
        <f>Kriterien!V142</f>
        <v>0</v>
      </c>
      <c r="AF226" s="623" t="str">
        <f t="shared" si="38"/>
        <v/>
      </c>
    </row>
    <row r="227" spans="1:32" s="116" customFormat="1" ht="134" customHeight="1">
      <c r="A227" s="305">
        <f>'2 Autodeklaration'!A140</f>
        <v>0</v>
      </c>
      <c r="B227" s="306"/>
      <c r="C227" s="299"/>
      <c r="D227" s="433"/>
      <c r="E227" s="581" t="s">
        <v>256</v>
      </c>
      <c r="F227" s="122" t="str">
        <f t="shared" si="34"/>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G227" s="544" t="str">
        <f t="shared" si="36"/>
        <v>Reglement und Visitation</v>
      </c>
      <c r="H227" s="566" t="str">
        <f>IF('2 Autodeklaration'!F140=0,"",'2 Autodeklaration'!F140)</f>
        <v/>
      </c>
      <c r="I227" s="567"/>
      <c r="J227" s="688"/>
      <c r="K227" s="725" t="str">
        <f t="shared" si="35"/>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L227" s="1256"/>
      <c r="M227" s="1284"/>
      <c r="N227" s="1279"/>
      <c r="O227" s="595"/>
      <c r="P227" s="599"/>
      <c r="AA227" s="360" t="str">
        <f>Kriterien!R143</f>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AB227" s="361" t="str">
        <f>Kriterien!S143</f>
        <v xml:space="preserve">Le médecin responsable de l’USI est tenu de garantir la présence permanente à l’hôpital d'un médecin ; ce médecin est en permanence responsable des patients de l’USI et disponible pour eux. Il est nécessaire de garantir à tout instant l'éventuelle mise en œuvre immédiate des mesures médicales urgentes (telles que réanimation, intubation, mise en place d’un cathéter artériel et veineux central, drainage thoracique [liste non exhaustive]). </v>
      </c>
      <c r="AC227" s="364" t="str">
        <f t="shared" si="37"/>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AD227" s="673" t="str">
        <f>Kriterien!U143</f>
        <v>Reglement und Visitation</v>
      </c>
      <c r="AE227" s="622" t="str">
        <f>Kriterien!V143</f>
        <v>Règlement et visite</v>
      </c>
      <c r="AF227" s="623" t="str">
        <f t="shared" si="38"/>
        <v>Reglement und Visitation</v>
      </c>
    </row>
    <row r="228" spans="1:32" s="116" customFormat="1" ht="222" customHeight="1">
      <c r="A228" s="305">
        <f>'2 Autodeklaration'!A141</f>
        <v>0</v>
      </c>
      <c r="B228" s="306"/>
      <c r="C228" s="299"/>
      <c r="D228" s="433"/>
      <c r="E228" s="581" t="s">
        <v>257</v>
      </c>
      <c r="F228" s="122" t="str">
        <f t="shared" si="34"/>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G228" s="544" t="str">
        <f t="shared" si="36"/>
        <v>Reglement und Visitation</v>
      </c>
      <c r="H228" s="566" t="str">
        <f>IF('2 Autodeklaration'!F141=0,"",'2 Autodeklaration'!F141)</f>
        <v/>
      </c>
      <c r="I228" s="567"/>
      <c r="J228" s="688"/>
      <c r="K228" s="725" t="str">
        <f t="shared" si="35"/>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L228" s="1256"/>
      <c r="M228" s="1284"/>
      <c r="N228" s="1279"/>
      <c r="O228" s="595"/>
      <c r="P228" s="599"/>
      <c r="AA228" s="360" t="str">
        <f>Kriterien!R144</f>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AB228" s="361" t="str">
        <f>Kriterien!S144</f>
        <v>Un médecin-cadre pour l’USI, porteur d’un titre fédéral en médecine intensive – le cas échéant en anesthésiologie/médecine interne/chirurgie/pédiatrie – avec une formation d’au moins 6 mois en médecine intensive - doit être présent dans l’hôpital ou opérationnel le cas échéant dans un délai de 30 minutes si le médecin de garde de l'USI ne possède pas cette qualification. La fonction de médecin cadre responsable est exercée à tout moment par une seule personne, qui est le seul interlocuteur du médecin du service et de l'équipe soignante. Il n'est donc pas admissible qu'en fonction du diagnostic ou du type de thérapie de médecine intensive (p.ex. "médicale", "chirurgicale", ventilée, non ventilée), différents médecins-cadres soient responsables des patients des USI pendant la même équipe.</v>
      </c>
      <c r="AC228" s="364" t="str">
        <f t="shared" si="37"/>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AD228" s="673" t="str">
        <f>Kriterien!U144</f>
        <v>Reglement und Visitation</v>
      </c>
      <c r="AE228" s="622" t="str">
        <f>Kriterien!V144</f>
        <v>Règlement et visite</v>
      </c>
      <c r="AF228" s="623" t="str">
        <f t="shared" si="38"/>
        <v>Reglement und Visitation</v>
      </c>
    </row>
    <row r="229" spans="1:32" s="116" customFormat="1" ht="40" customHeight="1">
      <c r="A229" s="305"/>
      <c r="B229" s="306"/>
      <c r="C229" s="2157"/>
      <c r="D229" s="433"/>
      <c r="E229" s="584" t="s">
        <v>161</v>
      </c>
      <c r="F229" s="127" t="str">
        <f t="shared" si="34"/>
        <v>Assistenz-, Ober- und/oder Kaderärzte, Fachärzte</v>
      </c>
      <c r="G229" s="546" t="str">
        <f t="shared" si="36"/>
        <v/>
      </c>
      <c r="H229" s="566" t="str">
        <f>IF('2 Autodeklaration'!F142=0,"",'2 Autodeklaration'!F142)</f>
        <v/>
      </c>
      <c r="I229" s="567"/>
      <c r="J229" s="688"/>
      <c r="K229" s="727" t="str">
        <f t="shared" si="35"/>
        <v>Assistenz-, Ober- und/oder Kaderärzte, Fachärzte</v>
      </c>
      <c r="L229" s="1256"/>
      <c r="M229" s="1284"/>
      <c r="N229" s="1279"/>
      <c r="O229" s="595"/>
      <c r="P229" s="599"/>
      <c r="AA229" s="360" t="str">
        <f>Kriterien!R145</f>
        <v>Assistenz-, Ober- und/oder Kaderärzte, Fachärzte</v>
      </c>
      <c r="AB229" s="361" t="str">
        <f>Kriterien!S145</f>
        <v>Médecins-assistants, chefs de clinique et/ou médecins-cadres, spécialistes</v>
      </c>
      <c r="AC229" s="364" t="str">
        <f t="shared" si="37"/>
        <v>Assistenz-, Ober- und/oder Kaderärzte, Fachärzte</v>
      </c>
      <c r="AD229" s="673">
        <f>Kriterien!U145</f>
        <v>0</v>
      </c>
      <c r="AE229" s="622">
        <f>Kriterien!V145</f>
        <v>0</v>
      </c>
      <c r="AF229" s="623" t="str">
        <f t="shared" si="38"/>
        <v/>
      </c>
    </row>
    <row r="230" spans="1:32" s="116" customFormat="1" ht="75">
      <c r="A230" s="305">
        <f>'2 Autodeklaration'!A143</f>
        <v>0</v>
      </c>
      <c r="B230" s="306"/>
      <c r="C230" s="299"/>
      <c r="D230" s="433"/>
      <c r="E230" s="581" t="s">
        <v>258</v>
      </c>
      <c r="F230" s="120" t="str">
        <f t="shared" si="34"/>
        <v>Alle Ärzte der IS sind dem ärztlichen Leiter der IS und den zuständigen Kaderärzten der IS in jedem Fall fachlich und führungsmässig direkt unterstellt.</v>
      </c>
      <c r="G230" s="544" t="str">
        <f t="shared" si="36"/>
        <v>Reglement und Visitation</v>
      </c>
      <c r="H230" s="566" t="str">
        <f>IF('2 Autodeklaration'!F143=0,"",'2 Autodeklaration'!F143)</f>
        <v/>
      </c>
      <c r="I230" s="567"/>
      <c r="J230" s="688"/>
      <c r="K230" s="724" t="str">
        <f t="shared" si="35"/>
        <v>Alle Ärzte der IS sind dem ärztlichen Leiter der IS und den zuständigen Kaderärzten der IS in jedem Fall fachlich und führungsmässig direkt unterstellt.</v>
      </c>
      <c r="L230" s="1256"/>
      <c r="M230" s="1284"/>
      <c r="N230" s="1279"/>
      <c r="O230" s="595"/>
      <c r="P230" s="599"/>
      <c r="AA230" s="360" t="str">
        <f>Kriterien!R146</f>
        <v>Alle Ärzte der IS sind dem ärztlichen Leiter der IS und den zuständigen Kaderärzten der IS in jedem Fall fachlich und führungsmässig direkt unterstellt.</v>
      </c>
      <c r="AB230" s="361" t="str">
        <f>Kriterien!S146</f>
        <v>Tous les médecins de l’USI sont directement subordonnés au médecin responsable et aux médecins-cadres de l'USI, tant au niveau médical que hiérarchique.</v>
      </c>
      <c r="AC230" s="364" t="str">
        <f t="shared" si="37"/>
        <v>Alle Ärzte der IS sind dem ärztlichen Leiter der IS und den zuständigen Kaderärzten der IS in jedem Fall fachlich und führungsmässig direkt unterstellt.</v>
      </c>
      <c r="AD230" s="673" t="str">
        <f>Kriterien!U146</f>
        <v>Reglement und Visitation</v>
      </c>
      <c r="AE230" s="622" t="str">
        <f>Kriterien!V146</f>
        <v>Règlement et visite</v>
      </c>
      <c r="AF230" s="623" t="str">
        <f t="shared" si="38"/>
        <v>Reglement und Visitation</v>
      </c>
    </row>
    <row r="231" spans="1:32" s="116" customFormat="1" ht="57" customHeight="1">
      <c r="A231" s="305">
        <f>'2 Autodeklaration'!A144</f>
        <v>0</v>
      </c>
      <c r="B231" s="306"/>
      <c r="C231" s="299"/>
      <c r="D231" s="433"/>
      <c r="E231" s="581" t="s">
        <v>259</v>
      </c>
      <c r="F231" s="120" t="str">
        <f t="shared" si="34"/>
        <v>Ärzte in Weiterbildung haben Anrecht auf das Ausstellen der zutreffenden Zeugnisformulare gemäss Weiterbildungsordnung der FMH und entsprechender Weiterbildungsprogramme der Fachgesellschaften.</v>
      </c>
      <c r="G231" s="544" t="str">
        <f t="shared" si="36"/>
        <v>Reglement und Visitation</v>
      </c>
      <c r="H231" s="566" t="str">
        <f>IF('2 Autodeklaration'!F144=0,"",'2 Autodeklaration'!F144)</f>
        <v/>
      </c>
      <c r="I231" s="567"/>
      <c r="J231" s="688"/>
      <c r="K231" s="724" t="str">
        <f t="shared" si="35"/>
        <v>Ärzte in Weiterbildung haben Anrecht auf das Ausstellen der zutreffenden Zeugnisformulare gemäss Weiterbildungsordnung der FMH und entsprechender Weiterbildungsprogramme der Fachgesellschaften.</v>
      </c>
      <c r="L231" s="1256"/>
      <c r="M231" s="1284"/>
      <c r="N231" s="1279"/>
      <c r="O231" s="595"/>
      <c r="P231" s="599"/>
      <c r="AA231" s="360" t="str">
        <f>Kriterien!R147</f>
        <v>Ärzte in Weiterbildung haben Anrecht auf das Ausstellen der zutreffenden Zeugnisformulare gemäss Weiterbildungsordnung der FMH und entsprechender Weiterbildungsprogramme der Fachgesellschaften.</v>
      </c>
      <c r="AB231" s="361" t="str">
        <f>Kriterien!S147</f>
        <v>Les médecins en formation ont droit à la délivrance des certificats de formation conformément aux directives sur la formation postgraduée de la FMH et aux programmes de formation des sociétés spécialisées.</v>
      </c>
      <c r="AC231" s="364" t="str">
        <f t="shared" si="37"/>
        <v>Ärzte in Weiterbildung haben Anrecht auf das Ausstellen der zutreffenden Zeugnisformulare gemäss Weiterbildungsordnung der FMH und entsprechender Weiterbildungsprogramme der Fachgesellschaften.</v>
      </c>
      <c r="AD231" s="673" t="str">
        <f>Kriterien!U147</f>
        <v>Reglement und Visitation</v>
      </c>
      <c r="AE231" s="622" t="str">
        <f>Kriterien!V147</f>
        <v>Règlement et visite</v>
      </c>
      <c r="AF231" s="623" t="str">
        <f t="shared" si="38"/>
        <v>Reglement und Visitation</v>
      </c>
    </row>
    <row r="232" spans="1:32" s="116" customFormat="1" ht="109" customHeight="1">
      <c r="A232" s="305">
        <f>'2 Autodeklaration'!A145</f>
        <v>0</v>
      </c>
      <c r="B232" s="306"/>
      <c r="C232" s="299"/>
      <c r="D232" s="433"/>
      <c r="E232" s="581" t="s">
        <v>260</v>
      </c>
      <c r="F232" s="120" t="str">
        <f t="shared" si="34"/>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G232" s="544" t="str">
        <f t="shared" si="36"/>
        <v>Reglement und Visitation</v>
      </c>
      <c r="H232" s="566" t="str">
        <f>IF('2 Autodeklaration'!F145=0,"",'2 Autodeklaration'!F145)</f>
        <v/>
      </c>
      <c r="I232" s="567"/>
      <c r="J232" s="688"/>
      <c r="K232" s="724" t="str">
        <f t="shared" si="35"/>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L232" s="1256"/>
      <c r="M232" s="1284"/>
      <c r="N232" s="1279"/>
      <c r="O232" s="595"/>
      <c r="P232" s="599"/>
      <c r="AA232" s="360" t="str">
        <f>Kriterien!R148</f>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AB232" s="361" t="str">
        <f>Kriterien!S148</f>
        <v>Tous les médecins en formation, en particulier les médecins-assistants, sont supervisés et exercent au sein de l’équipe en fonction de leurs niveaux et objectifs de formation postgraduée. En aucun cas, des médecins en formation ne doivent être contraints – par défaut d’organisation ou absence de spécialistes  de pratiquer des actes médicaux pour lesquels ils ne sont pas qualifiés.</v>
      </c>
      <c r="AC232" s="364" t="str">
        <f t="shared" si="37"/>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AD232" s="673" t="str">
        <f>Kriterien!U148</f>
        <v>Reglement und Visitation</v>
      </c>
      <c r="AE232" s="622" t="str">
        <f>Kriterien!V148</f>
        <v>Règlement et visite</v>
      </c>
      <c r="AF232" s="623" t="str">
        <f t="shared" si="38"/>
        <v>Reglement und Visitation</v>
      </c>
    </row>
    <row r="233" spans="1:32" s="116" customFormat="1" ht="40" customHeight="1">
      <c r="A233" s="305">
        <f>'2 Autodeklaration'!A146</f>
        <v>0</v>
      </c>
      <c r="B233" s="306"/>
      <c r="C233" s="299"/>
      <c r="D233" s="433"/>
      <c r="E233" s="579" t="s">
        <v>261</v>
      </c>
      <c r="F233" s="120" t="str">
        <f t="shared" si="34"/>
        <v>Assistenzärzte sind der IS für eine Zeitdauer von mindestens 3 Monaten zugeteilt.</v>
      </c>
      <c r="G233" s="544" t="str">
        <f t="shared" si="36"/>
        <v>Reglement und Visitation</v>
      </c>
      <c r="H233" s="566" t="str">
        <f>IF('2 Autodeklaration'!F146=0,"",'2 Autodeklaration'!F146)</f>
        <v/>
      </c>
      <c r="I233" s="567"/>
      <c r="J233" s="688"/>
      <c r="K233" s="724" t="str">
        <f t="shared" si="35"/>
        <v>Assistenzärzte sind der IS für eine Zeitdauer von mindestens 3 Monaten zugeteilt.</v>
      </c>
      <c r="L233" s="1256"/>
      <c r="M233" s="1284"/>
      <c r="N233" s="1279"/>
      <c r="O233" s="595"/>
      <c r="P233" s="599"/>
      <c r="AA233" s="360" t="str">
        <f>Kriterien!R149</f>
        <v>Assistenzärzte sind der IS für eine Zeitdauer von mindestens 3 Monaten zugeteilt.</v>
      </c>
      <c r="AB233" s="361" t="str">
        <f>Kriterien!S149</f>
        <v>Les médecins-assistants sont affectés à l'USI pour des périodes d'au moins trois mois.</v>
      </c>
      <c r="AC233" s="364" t="str">
        <f t="shared" si="37"/>
        <v>Assistenzärzte sind der IS für eine Zeitdauer von mindestens 3 Monaten zugeteilt.</v>
      </c>
      <c r="AD233" s="673" t="str">
        <f>Kriterien!U149</f>
        <v>Reglement und Visitation</v>
      </c>
      <c r="AE233" s="622" t="str">
        <f>Kriterien!V149</f>
        <v>Règlement et visite</v>
      </c>
      <c r="AF233" s="623" t="str">
        <f t="shared" si="38"/>
        <v>Reglement und Visitation</v>
      </c>
    </row>
    <row r="234" spans="1:32" s="116" customFormat="1" ht="30" customHeight="1">
      <c r="A234" s="305"/>
      <c r="B234" s="306"/>
      <c r="C234" s="2157"/>
      <c r="D234" s="433"/>
      <c r="E234" s="581" t="s">
        <v>162</v>
      </c>
      <c r="F234" s="125" t="str">
        <f t="shared" si="34"/>
        <v>Hintergrunddienst</v>
      </c>
      <c r="G234" s="548" t="str">
        <f t="shared" si="36"/>
        <v/>
      </c>
      <c r="H234" s="566" t="str">
        <f>IF('2 Autodeklaration'!F147=0,"",'2 Autodeklaration'!F147)</f>
        <v/>
      </c>
      <c r="I234" s="567"/>
      <c r="J234" s="692"/>
      <c r="K234" s="731" t="str">
        <f t="shared" si="35"/>
        <v>Hintergrunddienst</v>
      </c>
      <c r="L234" s="1263" t="str">
        <f>AF100&amp;E214&amp;". 
"&amp;F214</f>
        <v>Abschliessender Kommentar Kapitel 4.1. 
Ärztlicher Dienst</v>
      </c>
      <c r="M234" s="1284"/>
      <c r="N234" s="1279"/>
      <c r="O234" s="595"/>
      <c r="P234" s="599"/>
      <c r="AA234" s="360" t="str">
        <f>Kriterien!R150</f>
        <v>Hintergrunddienst</v>
      </c>
      <c r="AB234" s="361" t="str">
        <f>Kriterien!S150</f>
        <v>Service de piquet</v>
      </c>
      <c r="AC234" s="364" t="str">
        <f t="shared" si="37"/>
        <v>Hintergrunddienst</v>
      </c>
      <c r="AD234" s="673">
        <f>Kriterien!U150</f>
        <v>0</v>
      </c>
      <c r="AE234" s="622">
        <f>Kriterien!V150</f>
        <v>0</v>
      </c>
      <c r="AF234" s="623" t="str">
        <f t="shared" si="38"/>
        <v/>
      </c>
    </row>
    <row r="235" spans="1:32" s="116" customFormat="1" ht="217" customHeight="1">
      <c r="A235" s="305">
        <f>'2 Autodeklaration'!A148</f>
        <v>0</v>
      </c>
      <c r="B235" s="306"/>
      <c r="C235" s="299"/>
      <c r="D235" s="433"/>
      <c r="E235" s="581" t="s">
        <v>262</v>
      </c>
      <c r="F235" s="120" t="str">
        <f t="shared" si="34"/>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G235" s="544" t="str">
        <f t="shared" si="36"/>
        <v/>
      </c>
      <c r="H235" s="566" t="str">
        <f>IF('2 Autodeklaration'!F148=0,"",'2 Autodeklaration'!F148)</f>
        <v/>
      </c>
      <c r="I235" s="567"/>
      <c r="J235" s="652"/>
      <c r="K235" s="724" t="str">
        <f t="shared" si="35"/>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L235" s="2281"/>
      <c r="M235" s="1284"/>
      <c r="N235" s="1279"/>
      <c r="O235" s="595"/>
      <c r="P235" s="599"/>
      <c r="AA235" s="360" t="str">
        <f>Kriterien!R151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AB235" s="361" t="str">
        <f>Kriterien!S151</f>
        <v>Un médecin porteur du titre fédéral de spécialiste en médecine intensive ou d’un titre équivalent délivré par le comité de la SSMI, répondant pour l’USI, doit être joignable en permanence et, en cas de besoin, opérationnel dans l’USI dans 1 heure. Dans un réseau défini, un seul médecin titulaire d'un titre fédéral de spécialiste en médecine intensive ou d'une attestation d'équivalence correspondante délivrée par le comité de la SSMI peut également assurer un service d'arrière-plan pour plus d'un site USI, à condition qu'un médecin cadre ou un médecin d'unité responsable des SI, titulaire d'un titre fédéral de spécialiste en médecine intensive ou en anesthésiologie/médecine interne/chirurgie/pédiatrie avec une formation postgraduée d'au moins six mois en médecine intensive, soit présent en permanence dans l'hôpital sur tous les sites.</v>
      </c>
      <c r="AC235" s="364" t="str">
        <f t="shared" si="37"/>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AD235" s="673">
        <f>Kriterien!U151</f>
        <v>0</v>
      </c>
      <c r="AE235" s="622">
        <f>Kriterien!V151</f>
        <v>0</v>
      </c>
      <c r="AF235" s="623" t="str">
        <f t="shared" si="38"/>
        <v/>
      </c>
    </row>
    <row r="236" spans="1:32" s="116" customFormat="1" ht="30" customHeight="1">
      <c r="A236" s="305"/>
      <c r="B236" s="306"/>
      <c r="C236" s="2157"/>
      <c r="D236" s="433"/>
      <c r="E236" s="581" t="s">
        <v>103</v>
      </c>
      <c r="F236" s="125" t="str">
        <f t="shared" ref="F236:F299" si="39">AC236</f>
        <v>Konsiliardienste</v>
      </c>
      <c r="G236" s="548" t="str">
        <f t="shared" si="36"/>
        <v/>
      </c>
      <c r="H236" s="566" t="str">
        <f>IF('2 Autodeklaration'!F149=0,"",'2 Autodeklaration'!F149)</f>
        <v/>
      </c>
      <c r="I236" s="567"/>
      <c r="J236" s="652"/>
      <c r="K236" s="731" t="str">
        <f t="shared" si="35"/>
        <v>Konsiliardienste</v>
      </c>
      <c r="L236" s="2247"/>
      <c r="M236" s="1284"/>
      <c r="N236" s="1279"/>
      <c r="O236" s="595"/>
      <c r="P236" s="599"/>
      <c r="AA236" s="360" t="str">
        <f>Kriterien!R152</f>
        <v>Konsiliardienste</v>
      </c>
      <c r="AB236" s="361" t="str">
        <f>Kriterien!S152</f>
        <v>Médecins consultants</v>
      </c>
      <c r="AC236" s="364" t="str">
        <f t="shared" si="37"/>
        <v>Konsiliardienste</v>
      </c>
      <c r="AD236" s="673">
        <f>Kriterien!U152</f>
        <v>0</v>
      </c>
      <c r="AE236" s="622">
        <f>Kriterien!V152</f>
        <v>0</v>
      </c>
      <c r="AF236" s="623" t="str">
        <f t="shared" si="38"/>
        <v/>
      </c>
    </row>
    <row r="237" spans="1:32" s="116" customFormat="1" ht="77.25" customHeight="1">
      <c r="A237" s="305">
        <f>'2 Autodeklaration'!A150</f>
        <v>0</v>
      </c>
      <c r="B237" s="306"/>
      <c r="C237" s="299"/>
      <c r="D237" s="433"/>
      <c r="E237" s="581" t="s">
        <v>263</v>
      </c>
      <c r="F237" s="122" t="str">
        <f t="shared" si="39"/>
        <v>Je ein Vertreter jeder Grunddisziplin (Anästhesie, Innere Medizin bzw. Pädiatrie, Chirurgie bzw. Kinderchirurgie, Gynäkologie, Radiologie) muss jederzeit für Konsilien verfügbar sein.</v>
      </c>
      <c r="G237" s="544" t="str">
        <f t="shared" si="36"/>
        <v>Reglement und Visitation</v>
      </c>
      <c r="H237" s="566" t="str">
        <f>IF('2 Autodeklaration'!F150=0,"",'2 Autodeklaration'!F150)</f>
        <v/>
      </c>
      <c r="I237" s="567"/>
      <c r="J237" s="652"/>
      <c r="K237" s="725" t="str">
        <f t="shared" ref="K237:K300" si="40">F237</f>
        <v>Je ein Vertreter jeder Grunddisziplin (Anästhesie, Innere Medizin bzw. Pädiatrie, Chirurgie bzw. Kinderchirurgie, Gynäkologie, Radiologie) muss jederzeit für Konsilien verfügbar sein.</v>
      </c>
      <c r="L237" s="2247"/>
      <c r="M237" s="1284"/>
      <c r="N237" s="1279"/>
      <c r="O237" s="595"/>
      <c r="P237" s="599"/>
      <c r="AA237" s="360" t="str">
        <f>Kriterien!R153</f>
        <v>Je ein Vertreter jeder Grunddisziplin (Anästhesie, Innere Medizin bzw. Pädiatrie, Chirurgie bzw. Kinderchirurgie, Gynäkologie, Radiologie) muss jederzeit für Konsilien verfügbar sein.</v>
      </c>
      <c r="AB237" s="361" t="str">
        <f>Kriterien!S153</f>
        <v>Un représentant de chacune des disciplines de base (anesthésie, médecine interne ou pédiatrie, chirurgie ou chirurgie pédiatrique, gynécologie, radiologie) doit être disponible à tout instant afin de pouvoir répondre aux demandes de consultation.</v>
      </c>
      <c r="AC237" s="364" t="str">
        <f t="shared" si="37"/>
        <v>Je ein Vertreter jeder Grunddisziplin (Anästhesie, Innere Medizin bzw. Pädiatrie, Chirurgie bzw. Kinderchirurgie, Gynäkologie, Radiologie) muss jederzeit für Konsilien verfügbar sein.</v>
      </c>
      <c r="AD237" s="673" t="str">
        <f>Kriterien!U153</f>
        <v>Reglement und Visitation</v>
      </c>
      <c r="AE237" s="622" t="str">
        <f>Kriterien!V153</f>
        <v>Reglement und Visitation</v>
      </c>
      <c r="AF237" s="623" t="str">
        <f t="shared" si="38"/>
        <v>Reglement und Visitation</v>
      </c>
    </row>
    <row r="238" spans="1:32" s="116" customFormat="1" ht="30" customHeight="1">
      <c r="A238" s="305"/>
      <c r="B238" s="306"/>
      <c r="C238" s="2157"/>
      <c r="D238" s="433"/>
      <c r="E238" s="581" t="s">
        <v>106</v>
      </c>
      <c r="F238" s="128" t="str">
        <f t="shared" si="39"/>
        <v>Ärztliche Verordnungen</v>
      </c>
      <c r="G238" s="548" t="str">
        <f t="shared" si="36"/>
        <v/>
      </c>
      <c r="H238" s="566" t="str">
        <f>IF('2 Autodeklaration'!F151=0,"",'2 Autodeklaration'!F151)</f>
        <v/>
      </c>
      <c r="I238" s="567"/>
      <c r="J238" s="652"/>
      <c r="K238" s="734" t="str">
        <f t="shared" si="40"/>
        <v>Ärztliche Verordnungen</v>
      </c>
      <c r="L238" s="2247"/>
      <c r="M238" s="1284"/>
      <c r="N238" s="1279"/>
      <c r="O238" s="595"/>
      <c r="P238" s="599"/>
      <c r="AA238" s="360" t="str">
        <f>Kriterien!R154</f>
        <v>Ärztliche Verordnungen</v>
      </c>
      <c r="AB238" s="361" t="str">
        <f>Kriterien!S154</f>
        <v>Prescriptions médicales</v>
      </c>
      <c r="AC238" s="364" t="str">
        <f t="shared" si="37"/>
        <v>Ärztliche Verordnungen</v>
      </c>
      <c r="AD238" s="673">
        <f>Kriterien!U154</f>
        <v>0</v>
      </c>
      <c r="AE238" s="622">
        <f>Kriterien!V154</f>
        <v>0</v>
      </c>
      <c r="AF238" s="623" t="str">
        <f t="shared" si="38"/>
        <v/>
      </c>
    </row>
    <row r="239" spans="1:32" s="116" customFormat="1" ht="40" customHeight="1">
      <c r="A239" s="305">
        <f>'2 Autodeklaration'!A152</f>
        <v>0</v>
      </c>
      <c r="B239" s="306"/>
      <c r="C239" s="299"/>
      <c r="D239" s="433"/>
      <c r="E239" s="581" t="s">
        <v>264</v>
      </c>
      <c r="F239" s="120" t="str">
        <f t="shared" si="39"/>
        <v>Ärztliche Verordnungen werden in schriftlicher oder elektronischer Form abgegeben.</v>
      </c>
      <c r="G239" s="544" t="str">
        <f t="shared" si="36"/>
        <v>Reglement und Visitation</v>
      </c>
      <c r="H239" s="566" t="str">
        <f>IF('2 Autodeklaration'!F152=0,"",'2 Autodeklaration'!F152)</f>
        <v/>
      </c>
      <c r="I239" s="567"/>
      <c r="J239" s="652"/>
      <c r="K239" s="724" t="str">
        <f t="shared" si="40"/>
        <v>Ärztliche Verordnungen werden in schriftlicher oder elektronischer Form abgegeben.</v>
      </c>
      <c r="L239" s="2247"/>
      <c r="M239" s="1284"/>
      <c r="N239" s="1279"/>
      <c r="O239" s="595"/>
      <c r="P239" s="599"/>
      <c r="AA239" s="360" t="str">
        <f>Kriterien!R155</f>
        <v>Ärztliche Verordnungen werden in schriftlicher oder elektronischer Form abgegeben.</v>
      </c>
      <c r="AB239" s="361" t="str">
        <f>Kriterien!S155</f>
        <v>Les prescriptions médicales sont délivrées par écrit ou au format électronique.</v>
      </c>
      <c r="AC239" s="364" t="str">
        <f t="shared" si="37"/>
        <v>Ärztliche Verordnungen werden in schriftlicher oder elektronischer Form abgegeben.</v>
      </c>
      <c r="AD239" s="673" t="str">
        <f>Kriterien!U155</f>
        <v>Reglement und Visitation</v>
      </c>
      <c r="AE239" s="622" t="str">
        <f>Kriterien!V155</f>
        <v>Reglement und Visitation</v>
      </c>
      <c r="AF239" s="623" t="str">
        <f t="shared" si="38"/>
        <v>Reglement und Visitation</v>
      </c>
    </row>
    <row r="240" spans="1:32" s="116" customFormat="1" ht="98.25" customHeight="1">
      <c r="A240" s="305">
        <f>'2 Autodeklaration'!A153</f>
        <v>0</v>
      </c>
      <c r="B240" s="306"/>
      <c r="C240" s="299"/>
      <c r="D240" s="433"/>
      <c r="E240" s="581" t="s">
        <v>265</v>
      </c>
      <c r="F240" s="122" t="str">
        <f t="shared" si="39"/>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G240" s="548" t="str">
        <f t="shared" si="36"/>
        <v/>
      </c>
      <c r="H240" s="566" t="str">
        <f>IF('2 Autodeklaration'!F153=0,"",'2 Autodeklaration'!F153)</f>
        <v/>
      </c>
      <c r="I240" s="567"/>
      <c r="J240" s="693"/>
      <c r="K240" s="725" t="str">
        <f t="shared" si="40"/>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L240" s="1264"/>
      <c r="M240" s="1284"/>
      <c r="N240" s="1279"/>
      <c r="O240" s="595"/>
      <c r="P240" s="599"/>
      <c r="AA240" s="360" t="str">
        <f>Kriterien!R156</f>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AB240" s="361" t="str">
        <f>Kriterien!S156</f>
        <v>Seuls les membres de l'équipe médicale de l'USI sont habilités à faire des prescriptions médicales. Dans un esprit de bonne collaboration, ils peuvent tenir compte des propositions émises par les consultants et par les responsables médicaux des autres départements dont sont issus les patients de l’Unité.</v>
      </c>
      <c r="AC240" s="364" t="str">
        <f t="shared" si="37"/>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AD240" s="673">
        <f>Kriterien!U156</f>
        <v>0</v>
      </c>
      <c r="AE240" s="622">
        <f>Kriterien!V156</f>
        <v>0</v>
      </c>
      <c r="AF240" s="623" t="str">
        <f t="shared" si="38"/>
        <v/>
      </c>
    </row>
    <row r="241" spans="1:38" s="116" customFormat="1" ht="40" customHeight="1">
      <c r="A241" s="305"/>
      <c r="B241" s="306"/>
      <c r="C241" s="2157"/>
      <c r="D241" s="433"/>
      <c r="E241" s="579">
        <v>4.2</v>
      </c>
      <c r="F241" s="118" t="str">
        <f t="shared" si="39"/>
        <v>Pflegepersonal (siehe auch Tabelle zur Pflegestellenberechnung)</v>
      </c>
      <c r="G241" s="548" t="str">
        <f t="shared" si="36"/>
        <v/>
      </c>
      <c r="H241" s="566" t="str">
        <f>IF('2 Autodeklaration'!F154=0,"",'2 Autodeklaration'!F154)</f>
        <v/>
      </c>
      <c r="I241" s="567"/>
      <c r="J241" s="688"/>
      <c r="K241" s="723" t="str">
        <f t="shared" si="40"/>
        <v>Pflegepersonal (siehe auch Tabelle zur Pflegestellenberechnung)</v>
      </c>
      <c r="L241" s="1256"/>
      <c r="M241" s="1284"/>
      <c r="N241" s="1279"/>
      <c r="O241" s="595"/>
      <c r="P241" s="599"/>
      <c r="AA241" s="360" t="str">
        <f>Kriterien!R157</f>
        <v>Pflegepersonal (siehe auch Tabelle zur Pflegestellenberechnung)</v>
      </c>
      <c r="AB241" s="361" t="str">
        <f>Kriterien!S157</f>
        <v>Personnel soignant (voir également le tableau « Calcul pour la dotation soignante minimale »)</v>
      </c>
      <c r="AC241" s="364" t="str">
        <f t="shared" si="37"/>
        <v>Pflegepersonal (siehe auch Tabelle zur Pflegestellenberechnung)</v>
      </c>
      <c r="AD241" s="673">
        <f>Kriterien!U157</f>
        <v>0</v>
      </c>
      <c r="AE241" s="622">
        <f>Kriterien!V157</f>
        <v>0</v>
      </c>
      <c r="AF241" s="623" t="str">
        <f t="shared" si="38"/>
        <v/>
      </c>
    </row>
    <row r="242" spans="1:38" s="116" customFormat="1" ht="30" customHeight="1">
      <c r="A242" s="305"/>
      <c r="B242" s="306"/>
      <c r="C242" s="2157"/>
      <c r="D242" s="433"/>
      <c r="E242" s="581" t="s">
        <v>163</v>
      </c>
      <c r="F242" s="125" t="str">
        <f t="shared" si="39"/>
        <v>Pflegeleitung</v>
      </c>
      <c r="G242" s="548" t="str">
        <f t="shared" si="36"/>
        <v/>
      </c>
      <c r="H242" s="566" t="str">
        <f>IF('2 Autodeklaration'!F155=0,"",'2 Autodeklaration'!F155)</f>
        <v/>
      </c>
      <c r="I242" s="567"/>
      <c r="J242" s="688"/>
      <c r="K242" s="731" t="str">
        <f t="shared" si="40"/>
        <v>Pflegeleitung</v>
      </c>
      <c r="L242" s="1256"/>
      <c r="M242" s="1284"/>
      <c r="N242" s="1279"/>
      <c r="O242" s="595"/>
      <c r="P242" s="599"/>
      <c r="AA242" s="360" t="str">
        <f>Kriterien!R158</f>
        <v>Pflegeleitung</v>
      </c>
      <c r="AB242" s="361" t="str">
        <f>Kriterien!S158</f>
        <v>Directeur du personnel soignant</v>
      </c>
      <c r="AC242" s="364" t="str">
        <f t="shared" si="37"/>
        <v>Pflegeleitung</v>
      </c>
      <c r="AD242" s="673">
        <f>Kriterien!U158</f>
        <v>0</v>
      </c>
      <c r="AE242" s="622">
        <f>Kriterien!V158</f>
        <v>0</v>
      </c>
      <c r="AF242" s="623" t="str">
        <f t="shared" si="38"/>
        <v/>
      </c>
    </row>
    <row r="243" spans="1:38" s="116" customFormat="1" ht="40" customHeight="1">
      <c r="A243" s="305">
        <f>'2 Autodeklaration'!A156</f>
        <v>0</v>
      </c>
      <c r="B243" s="306"/>
      <c r="C243" s="299"/>
      <c r="D243" s="433"/>
      <c r="E243" s="581" t="s">
        <v>311</v>
      </c>
      <c r="F243" s="124" t="str">
        <f t="shared" si="39"/>
        <v>Fachlich und administrativ verantwortlich für die Pflege auf der IS (zum Teil gemeinsam mit der ärztlichen Leitung)</v>
      </c>
      <c r="G243" s="544" t="str">
        <f t="shared" si="36"/>
        <v>Reglement und Visitation</v>
      </c>
      <c r="H243" s="566" t="str">
        <f>IF('2 Autodeklaration'!F156=0,"",'2 Autodeklaration'!F156)</f>
        <v/>
      </c>
      <c r="I243" s="567"/>
      <c r="J243" s="688"/>
      <c r="K243" s="728" t="str">
        <f t="shared" si="40"/>
        <v>Fachlich und administrativ verantwortlich für die Pflege auf der IS (zum Teil gemeinsam mit der ärztlichen Leitung)</v>
      </c>
      <c r="L243" s="1256"/>
      <c r="M243" s="1284"/>
      <c r="N243" s="1279"/>
      <c r="O243" s="595"/>
      <c r="P243" s="599"/>
      <c r="AA243" s="360" t="str">
        <f>Kriterien!R159</f>
        <v>Fachlich und administrativ verantwortlich für die Pflege auf der IS (zum Teil gemeinsam mit der ärztlichen Leitung)</v>
      </c>
      <c r="AB243" s="361" t="str">
        <f>Kriterien!S159</f>
        <v>Il est le responsable infirmier et administratif des soins au sein de l'Unité (et partage en partie sa mission avec le responsable médical).</v>
      </c>
      <c r="AC243" s="364" t="str">
        <f t="shared" si="37"/>
        <v>Fachlich und administrativ verantwortlich für die Pflege auf der IS (zum Teil gemeinsam mit der ärztlichen Leitung)</v>
      </c>
      <c r="AD243" s="673" t="str">
        <f>Kriterien!U159</f>
        <v>Reglement und Visitation</v>
      </c>
      <c r="AE243" s="622" t="str">
        <f>Kriterien!V159</f>
        <v>Règlement et visite</v>
      </c>
      <c r="AF243" s="623" t="str">
        <f t="shared" si="38"/>
        <v>Reglement und Visitation</v>
      </c>
    </row>
    <row r="244" spans="1:38" s="116" customFormat="1" ht="135">
      <c r="A244" s="305">
        <f>'2 Autodeklaration'!A157</f>
        <v>0</v>
      </c>
      <c r="B244" s="306"/>
      <c r="C244" s="299"/>
      <c r="D244" s="433"/>
      <c r="E244" s="581" t="s">
        <v>266</v>
      </c>
      <c r="F244" s="126" t="str">
        <f t="shared" si="39"/>
        <v>Die administrative Verantwortung umfasst die allgemeine Organisation der IS sowie die Verbindungen mit den Pflege- und administrativen Gremien des Spitals, der SGI, des SBK und anderen Gremien (zum Teil gemeinsam mit dem ärztlichen Leiter).</v>
      </c>
      <c r="G244" s="544" t="str">
        <f t="shared" si="36"/>
        <v>Reglement und Visitation</v>
      </c>
      <c r="H244" s="566" t="str">
        <f>IF('2 Autodeklaration'!F157=0,"",'2 Autodeklaration'!F157)</f>
        <v/>
      </c>
      <c r="I244" s="567"/>
      <c r="J244" s="688"/>
      <c r="K244" s="733" t="str">
        <f t="shared" si="40"/>
        <v>Die administrative Verantwortung umfasst die allgemeine Organisation der IS sowie die Verbindungen mit den Pflege- und administrativen Gremien des Spitals, der SGI, des SBK und anderen Gremien (zum Teil gemeinsam mit dem ärztlichen Leiter).</v>
      </c>
      <c r="L244" s="1256"/>
      <c r="M244" s="1284"/>
      <c r="N244" s="1279"/>
      <c r="O244" s="595"/>
      <c r="P244" s="599"/>
      <c r="AA244" s="360" t="str">
        <f>Kriterien!R160</f>
        <v>Die administrative Verantwortung umfasst die allgemeine Organisation der IS sowie die Verbindungen mit den Pflege- und administrativen Gremien des Spitals, der SGI, des SBK und anderen Gremien (zum Teil gemeinsam mit dem ärztlichen Leiter).</v>
      </c>
      <c r="AB244" s="361" t="str">
        <f>Kriterien!S160</f>
        <v>La responsabilité administrative comprend l'organisation générale de l’USI, ainsi que les relations avec les comités administratifs et de soins infirmiers de l'hôpital, de la SSMI, de l'ASI et d’autres comités (ces activités étant en partie exercées avec le responsable médical).</v>
      </c>
      <c r="AC244" s="364" t="str">
        <f t="shared" si="37"/>
        <v>Die administrative Verantwortung umfasst die allgemeine Organisation der IS sowie die Verbindungen mit den Pflege- und administrativen Gremien des Spitals, der SGI, des SBK und anderen Gremien (zum Teil gemeinsam mit dem ärztlichen Leiter).</v>
      </c>
      <c r="AD244" s="673" t="str">
        <f>Kriterien!U160</f>
        <v>Reglement und Visitation</v>
      </c>
      <c r="AE244" s="622" t="str">
        <f>Kriterien!V160</f>
        <v>Règlement et visite</v>
      </c>
      <c r="AF244" s="623" t="str">
        <f t="shared" si="38"/>
        <v>Reglement und Visitation</v>
      </c>
    </row>
    <row r="245" spans="1:38" s="116" customFormat="1" ht="75.75" customHeight="1">
      <c r="A245" s="305">
        <f>'2 Autodeklaration'!A158</f>
        <v>0</v>
      </c>
      <c r="B245" s="306"/>
      <c r="C245" s="299"/>
      <c r="D245" s="433"/>
      <c r="E245" s="581" t="s">
        <v>267</v>
      </c>
      <c r="F245" s="120" t="str">
        <f t="shared" si="39"/>
        <v>Die intensivpflegerische Behandlung aller Patienten der IS erfolgt unter der Leitung und Verantwortung der Pflegeleitung. Diese kann Aufgaben sowohl an ihre Mitarbeiter als auch an Pflegende ausserhalb der IS delegieren.</v>
      </c>
      <c r="G245" s="544" t="str">
        <f t="shared" si="36"/>
        <v>Reglement und Visitation</v>
      </c>
      <c r="H245" s="566" t="str">
        <f>IF('2 Autodeklaration'!F158=0,"",'2 Autodeklaration'!F158)</f>
        <v/>
      </c>
      <c r="I245" s="567"/>
      <c r="J245" s="688"/>
      <c r="K245" s="724" t="str">
        <f t="shared" si="40"/>
        <v>Die intensivpflegerische Behandlung aller Patienten der IS erfolgt unter der Leitung und Verantwortung der Pflegeleitung. Diese kann Aufgaben sowohl an ihre Mitarbeiter als auch an Pflegende ausserhalb der IS delegieren.</v>
      </c>
      <c r="L245" s="1256"/>
      <c r="M245" s="1284"/>
      <c r="N245" s="1279"/>
      <c r="O245" s="595"/>
      <c r="P245" s="599"/>
      <c r="AA245" s="360" t="str">
        <f>Kriterien!R161</f>
        <v>Die intensivpflegerische Behandlung aller Patienten der IS erfolgt unter der Leitung und Verantwortung der Pflegeleitung. Diese kann Aufgaben sowohl an ihre Mitarbeiter als auch an Pflegende ausserhalb der IS delegieren.</v>
      </c>
      <c r="AB245" s="361" t="str">
        <f>Kriterien!S161</f>
        <v>La prise en charge de tous les patients de l’USI par le personnel infirmier des soins intensifs incombe à la direction et à la responsabilité du responsable infirmier de l’Unité. Ce dernier peut déléguer des tâches tant à ses collaborateurs qu'à des infirmiers extérieurs à l'USI.</v>
      </c>
      <c r="AC245" s="364" t="str">
        <f t="shared" si="37"/>
        <v>Die intensivpflegerische Behandlung aller Patienten der IS erfolgt unter der Leitung und Verantwortung der Pflegeleitung. Diese kann Aufgaben sowohl an ihre Mitarbeiter als auch an Pflegende ausserhalb der IS delegieren.</v>
      </c>
      <c r="AD245" s="673" t="str">
        <f>Kriterien!U161</f>
        <v>Reglement und Visitation</v>
      </c>
      <c r="AE245" s="622" t="str">
        <f>Kriterien!V161</f>
        <v>Règlement et visite</v>
      </c>
      <c r="AF245" s="623" t="str">
        <f t="shared" si="38"/>
        <v>Reglement und Visitation</v>
      </c>
    </row>
    <row r="246" spans="1:38" s="116" customFormat="1" ht="40" customHeight="1">
      <c r="A246" s="305">
        <f>'2 Autodeklaration'!A159</f>
        <v>0</v>
      </c>
      <c r="B246" s="306"/>
      <c r="C246" s="299"/>
      <c r="D246" s="433"/>
      <c r="E246" s="581" t="s">
        <v>268</v>
      </c>
      <c r="F246" s="120" t="str">
        <f t="shared" si="39"/>
        <v>Verantwortlich für Weiter- und Fortbildung des Pflege- und Pflegehilfs-Personal der IS und daran mitbeteiligt.</v>
      </c>
      <c r="G246" s="552" t="str">
        <f t="shared" si="36"/>
        <v>Reglement und Visitation</v>
      </c>
      <c r="H246" s="566" t="str">
        <f>IF('2 Autodeklaration'!F159=0,"",'2 Autodeklaration'!F159)</f>
        <v/>
      </c>
      <c r="I246" s="567"/>
      <c r="J246" s="688"/>
      <c r="K246" s="724" t="str">
        <f t="shared" si="40"/>
        <v>Verantwortlich für Weiter- und Fortbildung des Pflege- und Pflegehilfs-Personal der IS und daran mitbeteiligt.</v>
      </c>
      <c r="L246" s="1256"/>
      <c r="M246" s="1284"/>
      <c r="N246" s="1279"/>
      <c r="O246" s="595"/>
      <c r="P246" s="599"/>
      <c r="AA246" s="360" t="str">
        <f>Kriterien!R162</f>
        <v>Verantwortlich für Weiter- und Fortbildung des Pflege- und Pflegehilfs-Personal der IS und daran mitbeteiligt.</v>
      </c>
      <c r="AB246" s="361" t="str">
        <f>Kriterien!S162</f>
        <v>Il organise les formations postgraduées et continues du personnel soignant et des aide-soignants de l'USI et il y participe.</v>
      </c>
      <c r="AC246" s="364" t="str">
        <f t="shared" si="37"/>
        <v>Verantwortlich für Weiter- und Fortbildung des Pflege- und Pflegehilfs-Personal der IS und daran mitbeteiligt.</v>
      </c>
      <c r="AD246" s="673" t="str">
        <f>Kriterien!U162</f>
        <v>Reglement und Visitation</v>
      </c>
      <c r="AE246" s="622" t="str">
        <f>Kriterien!V162</f>
        <v>Règlement et visite</v>
      </c>
      <c r="AF246" s="623" t="str">
        <f t="shared" si="38"/>
        <v>Reglement und Visitation</v>
      </c>
    </row>
    <row r="247" spans="1:38" s="116" customFormat="1" ht="132" customHeight="1">
      <c r="A247" s="305">
        <f>'2 Autodeklaration'!A160</f>
        <v>0</v>
      </c>
      <c r="B247" s="306"/>
      <c r="C247" s="299"/>
      <c r="D247" s="433"/>
      <c r="E247" s="581" t="s">
        <v>269</v>
      </c>
      <c r="F247" s="120" t="str">
        <f t="shared" si="39"/>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G247" s="552" t="str">
        <f t="shared" si="36"/>
        <v>Reglement und Visitation</v>
      </c>
      <c r="H247" s="566" t="str">
        <f>IF('2 Autodeklaration'!F160=0,"",'2 Autodeklaration'!F160)</f>
        <v/>
      </c>
      <c r="I247" s="567"/>
      <c r="J247" s="688"/>
      <c r="K247" s="724" t="str">
        <f t="shared" si="40"/>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L247" s="1256"/>
      <c r="M247" s="1284"/>
      <c r="N247" s="1279"/>
      <c r="O247" s="595"/>
      <c r="P247" s="599"/>
      <c r="AA247" s="360" t="str">
        <f>Kriterien!R163</f>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AB247" s="361" t="str">
        <f>Kriterien!S163</f>
        <v>La direction des soins infirmiers au sein de l'USI revient à un expert détenteur d'un diplôme d'infirmier en soins intensifs EPD ES. À titre exceptionnel, le comité de la SSMI peut reconnaître une unité de soins dont le responsable n'est pas porteur du diplôme EPD ES, mais dispose toutefois d'un diplôme équivalent d'expert en soins intensifs EPD ES. La confirmation de l'équivalence de cette formation ne peut être délivrée que par le comité de la SSMI.</v>
      </c>
      <c r="AC247" s="364" t="str">
        <f t="shared" si="37"/>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AD247" s="673" t="str">
        <f>Kriterien!U163</f>
        <v>Reglement und Visitation</v>
      </c>
      <c r="AE247" s="622" t="str">
        <f>Kriterien!V163</f>
        <v>Règlement et visite</v>
      </c>
      <c r="AF247" s="623" t="str">
        <f t="shared" si="38"/>
        <v>Reglement und Visitation</v>
      </c>
    </row>
    <row r="248" spans="1:38" s="116" customFormat="1" ht="90">
      <c r="A248" s="305">
        <f>'2 Autodeklaration'!A161</f>
        <v>0</v>
      </c>
      <c r="B248" s="306"/>
      <c r="C248" s="299"/>
      <c r="D248" s="433"/>
      <c r="E248" s="584" t="s">
        <v>299</v>
      </c>
      <c r="F248" s="124" t="str">
        <f t="shared" si="39"/>
        <v>Die pflegerische Leitung ist in dieser Funktion unbefristet angestellt. In einem Rotationssystem sind Leitungswechsel höchstens alle 3 Jahre erlaubt.</v>
      </c>
      <c r="G248" s="552" t="str">
        <f t="shared" si="36"/>
        <v>Reglement und Visitation</v>
      </c>
      <c r="H248" s="566" t="str">
        <f>IF('2 Autodeklaration'!F161=0,"",'2 Autodeklaration'!F161)</f>
        <v/>
      </c>
      <c r="I248" s="567"/>
      <c r="J248" s="688"/>
      <c r="K248" s="728" t="str">
        <f t="shared" si="40"/>
        <v>Die pflegerische Leitung ist in dieser Funktion unbefristet angestellt. In einem Rotationssystem sind Leitungswechsel höchstens alle 3 Jahre erlaubt.</v>
      </c>
      <c r="L248" s="1256"/>
      <c r="M248" s="1284"/>
      <c r="N248" s="1279"/>
      <c r="O248" s="595"/>
      <c r="P248" s="599"/>
      <c r="AA248" s="360" t="str">
        <f>Kriterien!R164</f>
        <v>Die pflegerische Leitung ist in dieser Funktion unbefristet angestellt. In einem Rotationssystem sind Leitungswechsel höchstens alle 3 Jahre erlaubt.</v>
      </c>
      <c r="AB248" s="361" t="str">
        <f>Kriterien!S164</f>
        <v>Le responsable des soins infirmiers est engagé à ce poste pour une durée illimitée. Un changement de direction n'est autorisé, dans un système de rotation, au plus tôt aprèstrois ans.</v>
      </c>
      <c r="AC248" s="364" t="str">
        <f t="shared" si="37"/>
        <v>Die pflegerische Leitung ist in dieser Funktion unbefristet angestellt. In einem Rotationssystem sind Leitungswechsel höchstens alle 3 Jahre erlaubt.</v>
      </c>
      <c r="AD248" s="673" t="str">
        <f>Kriterien!U164</f>
        <v>Reglement und Visitation</v>
      </c>
      <c r="AE248" s="622" t="str">
        <f>Kriterien!V164</f>
        <v>Règlement et visite</v>
      </c>
      <c r="AF248" s="623" t="str">
        <f t="shared" si="38"/>
        <v>Reglement und Visitation</v>
      </c>
    </row>
    <row r="249" spans="1:38" s="116" customFormat="1" ht="90">
      <c r="A249" s="305">
        <f>'2 Autodeklaration'!A162</f>
        <v>0</v>
      </c>
      <c r="B249" s="306"/>
      <c r="C249" s="299"/>
      <c r="D249" s="433"/>
      <c r="E249" s="584" t="s">
        <v>300</v>
      </c>
      <c r="F249" s="120" t="str">
        <f t="shared" si="39"/>
        <v>Die ausgewiesene Minimalzeit für Kaderfunktionen (auch verteilt auf mehrere Personen) beträgt 80%-Vollzeitäquivalent für 6 Betten plus 10% für jedes zusätzliche Bett.</v>
      </c>
      <c r="G249" s="552" t="str">
        <f t="shared" si="36"/>
        <v>Reglement und Visitation</v>
      </c>
      <c r="H249" s="566" t="str">
        <f>IF('2 Autodeklaration'!F162=0,"",'2 Autodeklaration'!F162)</f>
        <v/>
      </c>
      <c r="I249" s="567"/>
      <c r="J249" s="688"/>
      <c r="K249" s="724" t="str">
        <f t="shared" si="40"/>
        <v>Die ausgewiesene Minimalzeit für Kaderfunktionen (auch verteilt auf mehrere Personen) beträgt 80%-Vollzeitäquivalent für 6 Betten plus 10% für jedes zusätzliche Bett.</v>
      </c>
      <c r="L249" s="1256"/>
      <c r="M249" s="1284"/>
      <c r="N249" s="1279"/>
      <c r="O249" s="595"/>
      <c r="P249" s="599"/>
      <c r="AA249" s="360" t="str">
        <f>Kriterien!R165</f>
        <v>Die ausgewiesene Minimalzeit für Kaderfunktionen (auch verteilt auf mehrere Personen) beträgt 80%-Vollzeitäquivalent für 6 Betten plus 10% für jedes zusätzliche Bett.</v>
      </c>
      <c r="AB249" s="361" t="str">
        <f>Kriterien!S165</f>
        <v>Le temps de travail minimum établi pour les fonctions de cadres (même réparti sur plusieurs personnes) est de 80 % d'équivalents plein temps pour 6 lits, plus 10 % par lit supplémentaire.</v>
      </c>
      <c r="AC249" s="364" t="str">
        <f t="shared" si="37"/>
        <v>Die ausgewiesene Minimalzeit für Kaderfunktionen (auch verteilt auf mehrere Personen) beträgt 80%-Vollzeitäquivalent für 6 Betten plus 10% für jedes zusätzliche Bett.</v>
      </c>
      <c r="AD249" s="673" t="str">
        <f>Kriterien!U165</f>
        <v>Reglement und Visitation</v>
      </c>
      <c r="AE249" s="622" t="str">
        <f>Kriterien!V165</f>
        <v>Règlement et visite</v>
      </c>
      <c r="AF249" s="623" t="str">
        <f t="shared" si="38"/>
        <v>Reglement und Visitation</v>
      </c>
    </row>
    <row r="250" spans="1:38" s="116" customFormat="1" ht="30" customHeight="1">
      <c r="A250" s="305"/>
      <c r="B250" s="306"/>
      <c r="C250" s="2157"/>
      <c r="D250" s="433"/>
      <c r="E250" s="585" t="s">
        <v>164</v>
      </c>
      <c r="F250" s="127" t="str">
        <f t="shared" si="39"/>
        <v>Pflegeexperte</v>
      </c>
      <c r="G250" s="544" t="str">
        <f t="shared" si="36"/>
        <v/>
      </c>
      <c r="H250" s="566" t="str">
        <f>IF('2 Autodeklaration'!F163=0,"",'2 Autodeklaration'!F163)</f>
        <v/>
      </c>
      <c r="I250" s="567"/>
      <c r="J250" s="688"/>
      <c r="K250" s="727" t="str">
        <f t="shared" si="40"/>
        <v>Pflegeexperte</v>
      </c>
      <c r="L250" s="1256"/>
      <c r="M250" s="1284"/>
      <c r="N250" s="1279"/>
      <c r="O250" s="595"/>
      <c r="P250" s="599"/>
      <c r="AA250" s="360" t="str">
        <f>Kriterien!R166</f>
        <v>Pflegeexperte</v>
      </c>
      <c r="AB250" s="361" t="str">
        <f>Kriterien!S166</f>
        <v>Expert en soins</v>
      </c>
      <c r="AC250" s="364" t="str">
        <f t="shared" si="37"/>
        <v>Pflegeexperte</v>
      </c>
      <c r="AD250" s="673">
        <f>Kriterien!U166</f>
        <v>0</v>
      </c>
      <c r="AE250" s="622">
        <f>Kriterien!V166</f>
        <v>0</v>
      </c>
      <c r="AF250" s="623" t="str">
        <f t="shared" si="38"/>
        <v/>
      </c>
    </row>
    <row r="251" spans="1:38" s="116" customFormat="1" ht="82" customHeight="1">
      <c r="A251" s="305"/>
      <c r="B251" s="306">
        <f>'2 Autodeklaration'!B164</f>
        <v>0</v>
      </c>
      <c r="C251" s="2157"/>
      <c r="D251" s="300"/>
      <c r="E251" s="584" t="s">
        <v>270</v>
      </c>
      <c r="F251" s="124" t="str">
        <f t="shared" si="39"/>
        <v>Ein Pflegeexperte mit einem Masterabschluss Pflege einer Fachhochschule oder Universität (Schweizer Bildungssystematik) [1 Punkt] und dem Diplom Experte Intensivpflege NDS HF [plus 1 Punkt] steht entsprechend der Grösse der Station zur Verfügung.</v>
      </c>
      <c r="G251" s="552" t="str">
        <f t="shared" si="36"/>
        <v>Reglement und Visitation</v>
      </c>
      <c r="H251" s="566" t="str">
        <f>IF('2 Autodeklaration'!F164=0,"",'2 Autodeklaration'!F164)</f>
        <v/>
      </c>
      <c r="I251" s="567"/>
      <c r="J251" s="688"/>
      <c r="K251" s="728" t="str">
        <f t="shared" si="40"/>
        <v>Ein Pflegeexperte mit einem Masterabschluss Pflege einer Fachhochschule oder Universität (Schweizer Bildungssystematik) [1 Punkt] und dem Diplom Experte Intensivpflege NDS HF [plus 1 Punkt] steht entsprechend der Grösse der Station zur Verfügung.</v>
      </c>
      <c r="L251" s="1256"/>
      <c r="M251" s="1284"/>
      <c r="N251" s="1279"/>
      <c r="O251" s="595"/>
      <c r="P251" s="599"/>
      <c r="AA251" s="360" t="str">
        <f>Kriterien!R167</f>
        <v>Ein Pflegeexperte mit einem Masterabschluss Pflege einer Fachhochschule oder Universität (Schweizer Bildungssystematik) [1 Punkt] und dem Diplom Experte Intensivpflege NDS HF [plus 1 Punkt] steht entsprechend der Grösse der Station zur Verfügung.</v>
      </c>
      <c r="AB251" s="361" t="str">
        <f>Kriterien!S167</f>
        <v>Un expert en soins détenteur d’un master en soins d’une haute école spécialisée ou d’une université (systématique suisse de la formation) [1 point] et le diplôme d'expert en soins intensifs EPD ES, [plus 1 point] est disponible pour l'USI en fonction de la taille de l'Unité.</v>
      </c>
      <c r="AC251" s="364" t="str">
        <f t="shared" si="37"/>
        <v>Ein Pflegeexperte mit einem Masterabschluss Pflege einer Fachhochschule oder Universität (Schweizer Bildungssystematik) [1 Punkt] und dem Diplom Experte Intensivpflege NDS HF [plus 1 Punkt] steht entsprechend der Grösse der Station zur Verfügung.</v>
      </c>
      <c r="AD251" s="673" t="str">
        <f>Kriterien!U167</f>
        <v>Reglement und Visitation</v>
      </c>
      <c r="AE251" s="622" t="str">
        <f>Kriterien!V167</f>
        <v>Règlement et visite</v>
      </c>
      <c r="AF251" s="623" t="str">
        <f t="shared" si="38"/>
        <v>Reglement und Visitation</v>
      </c>
    </row>
    <row r="252" spans="1:38" s="116" customFormat="1" ht="30" customHeight="1">
      <c r="A252" s="305"/>
      <c r="B252" s="306"/>
      <c r="C252" s="2157"/>
      <c r="D252" s="433"/>
      <c r="E252" s="584" t="s">
        <v>304</v>
      </c>
      <c r="F252" s="125" t="str">
        <f t="shared" si="39"/>
        <v>Minimalbestand an besetzten Pflegestellen Vollzeit (FTE)</v>
      </c>
      <c r="G252" s="544" t="str">
        <f t="shared" si="36"/>
        <v/>
      </c>
      <c r="H252" s="566" t="str">
        <f>IF('2 Autodeklaration'!F165=0,"",'2 Autodeklaration'!F165)</f>
        <v/>
      </c>
      <c r="I252" s="567"/>
      <c r="J252" s="688"/>
      <c r="K252" s="731" t="str">
        <f t="shared" si="40"/>
        <v>Minimalbestand an besetzten Pflegestellen Vollzeit (FTE)</v>
      </c>
      <c r="L252" s="1256"/>
      <c r="M252" s="1284"/>
      <c r="N252" s="1279"/>
      <c r="O252" s="595"/>
      <c r="P252" s="599"/>
      <c r="AA252" s="360" t="str">
        <f>Kriterien!R168</f>
        <v>Minimalbestand an besetzten Pflegestellen Vollzeit (FTE)</v>
      </c>
      <c r="AB252" s="361" t="str">
        <f>Kriterien!S168</f>
        <v>Dotation minimale en personnel soignant à plein temps (EPT)</v>
      </c>
      <c r="AC252" s="364" t="str">
        <f t="shared" si="37"/>
        <v>Minimalbestand an besetzten Pflegestellen Vollzeit (FTE)</v>
      </c>
      <c r="AD252" s="673">
        <f>Kriterien!U168</f>
        <v>0</v>
      </c>
      <c r="AE252" s="622">
        <f>Kriterien!V168</f>
        <v>0</v>
      </c>
      <c r="AF252" s="623" t="str">
        <f t="shared" si="38"/>
        <v/>
      </c>
    </row>
    <row r="253" spans="1:38" s="116" customFormat="1" ht="105" customHeight="1">
      <c r="A253" s="305">
        <f>'2 Autodeklaration'!A166</f>
        <v>0</v>
      </c>
      <c r="B253" s="306"/>
      <c r="C253" s="299"/>
      <c r="D253" s="433"/>
      <c r="E253" s="584" t="s">
        <v>306</v>
      </c>
      <c r="F253" s="126" t="str">
        <f t="shared" si="39"/>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G253" s="552" t="str">
        <f t="shared" si="36"/>
        <v>Reglement und Visitation</v>
      </c>
      <c r="H253" s="566" t="str">
        <f>IF('2 Autodeklaration'!F166=0,"",'2 Autodeklaration'!F166)</f>
        <v/>
      </c>
      <c r="I253" s="567"/>
      <c r="J253" s="688"/>
      <c r="K253" s="733" t="str">
        <f t="shared" si="40"/>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L253" s="1256"/>
      <c r="M253" s="1284"/>
      <c r="N253" s="1279"/>
      <c r="O253" s="595"/>
      <c r="P253" s="599"/>
      <c r="AA253" s="360" t="str">
        <f>Kriterien!R169</f>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AB253" s="361" t="str">
        <f>Kriterien!S169</f>
        <v xml:space="preserve">Le tableau suivant détaille la dotation minimale absolue en personnel soignant à plein temps (EPT) attribué, indépendamment des horaires effectifs. Pour les Unités de soins intensifs extraordinaires, le tableau ne peut s'appliquer au sens strict, elles doivent par contre satisfaire aux sections suivantes. </v>
      </c>
      <c r="AC253" s="364" t="str">
        <f t="shared" si="37"/>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AD253" s="673" t="str">
        <f>Kriterien!U169</f>
        <v>Reglement und Visitation</v>
      </c>
      <c r="AE253" s="622" t="str">
        <f>Kriterien!V169</f>
        <v>Règlement et visite</v>
      </c>
      <c r="AF253" s="623" t="str">
        <f t="shared" si="38"/>
        <v>Reglement und Visitation</v>
      </c>
    </row>
    <row r="254" spans="1:38" s="18" customFormat="1" ht="92" customHeight="1">
      <c r="A254" s="78"/>
      <c r="B254" s="139"/>
      <c r="C254" s="2157"/>
      <c r="D254" s="433"/>
      <c r="E254" s="586"/>
      <c r="F254" s="307" t="str">
        <f t="shared" si="39"/>
        <v>Tabelle auf Deutsch</v>
      </c>
      <c r="G254" s="307" t="str">
        <f t="shared" ref="G254:G257" si="41">AF254</f>
        <v>Tabelle auf Französisch</v>
      </c>
      <c r="H254" s="569" t="str">
        <f>IF('2 Autodeklaration'!F167=0,"",'2 Autodeklaration'!F167)</f>
        <v/>
      </c>
      <c r="I254" s="1292"/>
      <c r="J254" s="688"/>
      <c r="K254" s="756" t="str">
        <f t="shared" si="40"/>
        <v>Tabelle auf Deutsch</v>
      </c>
      <c r="L254" s="1256"/>
      <c r="M254" s="1284"/>
      <c r="N254" s="1279"/>
      <c r="O254" s="595"/>
      <c r="P254" s="599"/>
      <c r="AA254" s="312" t="str">
        <f>Kriterien!R170</f>
        <v>Tabelle auf Deutsch</v>
      </c>
      <c r="AB254" s="316" t="str">
        <f>Kriterien!S170</f>
        <v>Tableau en Allemand</v>
      </c>
      <c r="AC254" s="362" t="str">
        <f t="shared" si="37"/>
        <v>Tabelle auf Deutsch</v>
      </c>
      <c r="AD254" s="672" t="str">
        <f>Kriterien!U170</f>
        <v>Tabelle auf Französisch</v>
      </c>
      <c r="AE254" s="624" t="str">
        <f>Kriterien!V170</f>
        <v>Tableau en Français</v>
      </c>
      <c r="AF254" s="617" t="str">
        <f t="shared" si="38"/>
        <v>Tabelle auf Französisch</v>
      </c>
      <c r="AG254" s="112"/>
      <c r="AH254" s="112"/>
      <c r="AI254" s="112"/>
      <c r="AJ254" s="112"/>
      <c r="AK254" s="112"/>
      <c r="AL254" s="112"/>
    </row>
    <row r="255" spans="1:38" s="116" customFormat="1" ht="258" customHeight="1">
      <c r="A255" s="305">
        <f>'2 Autodeklaration'!A168</f>
        <v>0</v>
      </c>
      <c r="B255" s="306"/>
      <c r="C255" s="299"/>
      <c r="D255" s="433"/>
      <c r="E255" s="581" t="s">
        <v>307</v>
      </c>
      <c r="F255" s="120" t="str">
        <f t="shared" si="39"/>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G255" s="552" t="str">
        <f t="shared" si="41"/>
        <v>Reglement und Visitation</v>
      </c>
      <c r="H255" s="566" t="str">
        <f>IF('2 Autodeklaration'!F168=0,"",'2 Autodeklaration'!F168)</f>
        <v/>
      </c>
      <c r="I255" s="567"/>
      <c r="J255" s="688"/>
      <c r="K255" s="724" t="str">
        <f t="shared" si="40"/>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L255" s="1256"/>
      <c r="M255" s="1284"/>
      <c r="N255" s="1279"/>
      <c r="O255" s="595"/>
      <c r="P255" s="599"/>
      <c r="AA255" s="360" t="str">
        <f>Kriterien!R171</f>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AB255" s="361" t="str">
        <f>Kriterien!S171</f>
        <v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La présence minimale par horaire est de 2 soignant(e)s dont 1 est expert(e) en soins intensifs EPD ES (ou formation équivalente).
Ce point peut engendrer un besoin en postes d’expert(e)s EPD ES supérieur au calcul basé sur le nombre d’horaires effectifs, ou aux exigences minimale notées dans le tableau ci-dessus. L’exigence est remplie si tous les critères mentionnés (4.2.3.2) sont remplis. </v>
      </c>
      <c r="AC255" s="364" t="str">
        <f t="shared" si="37"/>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AD255" s="673" t="str">
        <f>Kriterien!U171</f>
        <v>Reglement und Visitation</v>
      </c>
      <c r="AE255" s="622" t="str">
        <f>Kriterien!V171</f>
        <v>Règlement et visite</v>
      </c>
      <c r="AF255" s="623" t="str">
        <f t="shared" si="38"/>
        <v>Reglement und Visitation</v>
      </c>
    </row>
    <row r="256" spans="1:38" s="116" customFormat="1" ht="30" customHeight="1">
      <c r="A256" s="305"/>
      <c r="B256" s="306"/>
      <c r="C256" s="2157"/>
      <c r="D256" s="433"/>
      <c r="E256" s="181"/>
      <c r="F256" s="513" t="str">
        <f t="shared" si="39"/>
        <v>Pflegeberechnung:     siehe Excel-Blatt "ETP-FTE"</v>
      </c>
      <c r="G256" s="552" t="str">
        <f t="shared" si="41"/>
        <v/>
      </c>
      <c r="H256" s="566" t="str">
        <f>IF('2 Autodeklaration'!F169=0,"",'2 Autodeklaration'!F169)</f>
        <v/>
      </c>
      <c r="I256" s="567"/>
      <c r="J256" s="688"/>
      <c r="K256" s="735" t="str">
        <f t="shared" si="40"/>
        <v>Pflegeberechnung:     siehe Excel-Blatt "ETP-FTE"</v>
      </c>
      <c r="L256" s="1256"/>
      <c r="M256" s="1284"/>
      <c r="N256" s="1279"/>
      <c r="O256" s="595"/>
      <c r="P256" s="599"/>
      <c r="AA256" s="360" t="str">
        <f>Kriterien!R172</f>
        <v>Pflegeberechnung:     siehe Excel-Blatt "ETP-FTE"</v>
      </c>
      <c r="AB256" s="361" t="str">
        <f>Kriterien!S172</f>
        <v>Calcul de dotation en soins:     cf. Onglet Excel "ETP-FTE"</v>
      </c>
      <c r="AC256" s="364" t="str">
        <f t="shared" si="37"/>
        <v>Pflegeberechnung:     siehe Excel-Blatt "ETP-FTE"</v>
      </c>
      <c r="AD256" s="673">
        <f>Kriterien!U172</f>
        <v>0</v>
      </c>
      <c r="AE256" s="622">
        <f>Kriterien!V172</f>
        <v>0</v>
      </c>
      <c r="AF256" s="623" t="str">
        <f t="shared" si="38"/>
        <v/>
      </c>
    </row>
    <row r="257" spans="1:32" s="116" customFormat="1" ht="87" customHeight="1">
      <c r="A257" s="305">
        <f>'2 Autodeklaration'!A170</f>
        <v>0</v>
      </c>
      <c r="B257" s="306"/>
      <c r="C257" s="299"/>
      <c r="D257" s="433"/>
      <c r="E257" s="581" t="s">
        <v>308</v>
      </c>
      <c r="F257" s="120" t="str">
        <f t="shared" si="39"/>
        <v>Die nicht patientengebundene Arbeit, die durch die Pflegekader oder andere Angehörige des Pflegeteams der IS erbracht wird, ist in den obigen Zahlen nicht enthalten. Der Anteil der nicht patientengebundenen Arbeit bei allen Kadern muss ausgewiesen werden.</v>
      </c>
      <c r="G257" s="552" t="str">
        <f t="shared" si="41"/>
        <v>Reglement und Visitation</v>
      </c>
      <c r="H257" s="566" t="str">
        <f>IF('2 Autodeklaration'!F170=0,"",'2 Autodeklaration'!F170)</f>
        <v/>
      </c>
      <c r="I257" s="567"/>
      <c r="J257" s="689"/>
      <c r="K257" s="724" t="str">
        <f t="shared" si="40"/>
        <v>Die nicht patientengebundene Arbeit, die durch die Pflegekader oder andere Angehörige des Pflegeteams der IS erbracht wird, ist in den obigen Zahlen nicht enthalten. Der Anteil der nicht patientengebundenen Arbeit bei allen Kadern muss ausgewiesen werden.</v>
      </c>
      <c r="L257" s="1260"/>
      <c r="M257" s="1284"/>
      <c r="N257" s="1279"/>
      <c r="O257" s="595"/>
      <c r="P257" s="599"/>
      <c r="AA257" s="360" t="str">
        <f>Kriterien!R173</f>
        <v>Die nicht patientengebundene Arbeit, die durch die Pflegekader oder andere Angehörige des Pflegeteams der IS erbracht wird, ist in den obigen Zahlen nicht enthalten. Der Anteil der nicht patientengebundenen Arbeit bei allen Kadern muss ausgewiesen werden.</v>
      </c>
      <c r="AB257" s="361" t="str">
        <f>Kriterien!S173</f>
        <v>Le travail non lié aux patients effectué par les cadres infirmiers ou d’autres membres de l’équipe soignante de l’USI n’est pas pris en compte dans les chiffres indiqués ci-dessus. La part relative à ce travail effectué par l'ensemble des cadres doit être dûment documentée.</v>
      </c>
      <c r="AC257" s="364" t="str">
        <f t="shared" si="37"/>
        <v>Die nicht patientengebundene Arbeit, die durch die Pflegekader oder andere Angehörige des Pflegeteams der IS erbracht wird, ist in den obigen Zahlen nicht enthalten. Der Anteil der nicht patientengebundenen Arbeit bei allen Kadern muss ausgewiesen werden.</v>
      </c>
      <c r="AD257" s="673" t="str">
        <f>Kriterien!U173</f>
        <v>Reglement und Visitation</v>
      </c>
      <c r="AE257" s="622" t="str">
        <f>Kriterien!V173</f>
        <v>Règlement et visite</v>
      </c>
      <c r="AF257" s="623" t="str">
        <f t="shared" si="38"/>
        <v>Reglement und Visitation</v>
      </c>
    </row>
    <row r="258" spans="1:32" s="116" customFormat="1" ht="75" customHeight="1">
      <c r="A258" s="305">
        <f>'2 Autodeklaration'!A171</f>
        <v>0</v>
      </c>
      <c r="B258" s="306"/>
      <c r="C258" s="299"/>
      <c r="D258" s="433"/>
      <c r="E258" s="581" t="s">
        <v>309</v>
      </c>
      <c r="F258" s="120" t="str">
        <f t="shared" si="39"/>
        <v>Alle im Instruktionsdienst tätigen Pflegepersonen zählen nur für ihre Tätigkeit in der direkten Pflege am Bett zu den oben genannten Zahlen. Das geplante Verhältnis muss ausgewiesen werden.</v>
      </c>
      <c r="G258" s="552" t="str">
        <f t="shared" ref="G258:G310" si="42">AF258</f>
        <v>Reglement und Visitation</v>
      </c>
      <c r="H258" s="566" t="str">
        <f>IF('2 Autodeklaration'!F171=0,"",'2 Autodeklaration'!F171)</f>
        <v/>
      </c>
      <c r="I258" s="567"/>
      <c r="J258" s="683"/>
      <c r="K258" s="724" t="str">
        <f t="shared" si="40"/>
        <v>Alle im Instruktionsdienst tätigen Pflegepersonen zählen nur für ihre Tätigkeit in der direkten Pflege am Bett zu den oben genannten Zahlen. Das geplante Verhältnis muss ausgewiesen werden.</v>
      </c>
      <c r="L258" s="1260"/>
      <c r="M258" s="1284"/>
      <c r="N258" s="1279"/>
      <c r="O258" s="595"/>
      <c r="P258" s="599"/>
      <c r="AA258" s="360" t="str">
        <f>Kriterien!R174</f>
        <v>Alle im Instruktionsdienst tätigen Pflegepersonen zählen nur für ihre Tätigkeit in der direkten Pflege am Bett zu den oben genannten Zahlen. Das geplante Verhältnis muss ausgewiesen werden.</v>
      </c>
      <c r="AB258" s="361" t="str">
        <f>Kriterien!S174</f>
        <v>L'ensemble du personnel de soins participant aux activités d'instruction n'est comptabilisé dans les chiffres ci-dessus que dans le cadre de ses activités de soins directs au lit du patient. La proportion prévue pour les différentes activités doit être documentée.</v>
      </c>
      <c r="AC258" s="364" t="str">
        <f t="shared" si="37"/>
        <v>Alle im Instruktionsdienst tätigen Pflegepersonen zählen nur für ihre Tätigkeit in der direkten Pflege am Bett zu den oben genannten Zahlen. Das geplante Verhältnis muss ausgewiesen werden.</v>
      </c>
      <c r="AD258" s="673" t="str">
        <f>Kriterien!U174</f>
        <v>Reglement und Visitation</v>
      </c>
      <c r="AE258" s="622" t="str">
        <f>Kriterien!V174</f>
        <v>Règlement et visite</v>
      </c>
      <c r="AF258" s="623" t="str">
        <f t="shared" si="38"/>
        <v>Reglement und Visitation</v>
      </c>
    </row>
    <row r="259" spans="1:32" s="116" customFormat="1" ht="107" customHeight="1">
      <c r="A259" s="305">
        <f>'2 Autodeklaration'!A172</f>
        <v>0</v>
      </c>
      <c r="B259" s="306"/>
      <c r="C259" s="299"/>
      <c r="D259" s="433"/>
      <c r="E259" s="581" t="s">
        <v>310</v>
      </c>
      <c r="F259" s="120" t="str">
        <f t="shared" si="39"/>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G259" s="552" t="str">
        <f t="shared" si="42"/>
        <v>Reglement und Visitation</v>
      </c>
      <c r="H259" s="566" t="str">
        <f>IF('2 Autodeklaration'!F172=0,"",'2 Autodeklaration'!F172)</f>
        <v/>
      </c>
      <c r="I259" s="567"/>
      <c r="J259" s="652"/>
      <c r="K259" s="724" t="str">
        <f t="shared" si="40"/>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L259" s="1256"/>
      <c r="M259" s="1284"/>
      <c r="N259" s="1279"/>
      <c r="O259" s="595"/>
      <c r="P259" s="599"/>
      <c r="AA259" s="360" t="str">
        <f>Kriterien!R175</f>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AB259" s="361" t="str">
        <f>Kriterien!S175</f>
        <v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 </v>
      </c>
      <c r="AC259" s="364" t="str">
        <f t="shared" si="37"/>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AD259" s="673" t="str">
        <f>Kriterien!U175</f>
        <v>Reglement und Visitation</v>
      </c>
      <c r="AE259" s="622" t="str">
        <f>Kriterien!V175</f>
        <v>Règlement et visite</v>
      </c>
      <c r="AF259" s="623" t="str">
        <f t="shared" si="38"/>
        <v>Reglement und Visitation</v>
      </c>
    </row>
    <row r="260" spans="1:32" s="116" customFormat="1" ht="30" customHeight="1" thickBot="1">
      <c r="A260" s="305"/>
      <c r="B260" s="306"/>
      <c r="C260" s="2157"/>
      <c r="D260" s="433"/>
      <c r="E260" s="581" t="s">
        <v>312</v>
      </c>
      <c r="F260" s="125" t="str">
        <f t="shared" si="39"/>
        <v>Qualifikation</v>
      </c>
      <c r="G260" s="548" t="str">
        <f t="shared" si="42"/>
        <v/>
      </c>
      <c r="H260" s="566" t="str">
        <f>IF('2 Autodeklaration'!F173=0,"",'2 Autodeklaration'!F173)</f>
        <v/>
      </c>
      <c r="I260" s="567"/>
      <c r="J260" s="652"/>
      <c r="K260" s="731" t="str">
        <f t="shared" si="40"/>
        <v>Qualifikation</v>
      </c>
      <c r="L260" s="1256"/>
      <c r="M260" s="1284"/>
      <c r="N260" s="1279"/>
      <c r="O260" s="595"/>
      <c r="P260" s="599"/>
      <c r="AA260" s="360" t="str">
        <f>Kriterien!R176</f>
        <v>Qualifikation</v>
      </c>
      <c r="AB260" s="361" t="str">
        <f>Kriterien!S176</f>
        <v>Qualification</v>
      </c>
      <c r="AC260" s="364" t="str">
        <f t="shared" si="37"/>
        <v>Qualifikation</v>
      </c>
      <c r="AD260" s="673">
        <f>Kriterien!U176</f>
        <v>0</v>
      </c>
      <c r="AE260" s="622">
        <f>Kriterien!V176</f>
        <v>0</v>
      </c>
      <c r="AF260" s="623" t="str">
        <f t="shared" si="38"/>
        <v/>
      </c>
    </row>
    <row r="261" spans="1:32" s="116" customFormat="1" ht="91" customHeight="1">
      <c r="A261" s="305">
        <f>'2 Autodeklaration'!A174</f>
        <v>0</v>
      </c>
      <c r="B261" s="306"/>
      <c r="C261" s="299"/>
      <c r="D261" s="433"/>
      <c r="E261" s="581" t="s">
        <v>313</v>
      </c>
      <c r="F261" s="120" t="str">
        <f t="shared" si="39"/>
        <v>Mindestens ein Drittel der verlangten, minimalen Vollzeitstellenprozente des Pflegepersonals muss über das Diplom Experte in Intensivpflege NDS HF oder eine gleichwertige Ausbildung verfügen. Über die Gleichwertigkeit entscheidet der Vorstand der SGI.</v>
      </c>
      <c r="G261" s="544" t="str">
        <f t="shared" si="42"/>
        <v>Reglement und Visitation</v>
      </c>
      <c r="H261" s="566" t="str">
        <f>IF('2 Autodeklaration'!F174=0,"",'2 Autodeklaration'!F174)</f>
        <v/>
      </c>
      <c r="I261" s="567"/>
      <c r="J261" s="652"/>
      <c r="K261" s="724" t="str">
        <f t="shared" si="40"/>
        <v>Mindestens ein Drittel der verlangten, minimalen Vollzeitstellenprozente des Pflegepersonals muss über das Diplom Experte in Intensivpflege NDS HF oder eine gleichwertige Ausbildung verfügen. Über die Gleichwertigkeit entscheidet der Vorstand der SGI.</v>
      </c>
      <c r="L261" s="1265" t="str">
        <f>AF100&amp;E241&amp;". 
"&amp;F241</f>
        <v>Abschliessender Kommentar Kapitel 4.2. 
Pflegepersonal (siehe auch Tabelle zur Pflegestellenberechnung)</v>
      </c>
      <c r="M261" s="1284"/>
      <c r="N261" s="1279"/>
      <c r="O261" s="595"/>
      <c r="P261" s="599"/>
      <c r="AA261" s="360" t="str">
        <f>Kriterien!R177</f>
        <v>Mindestens ein Drittel der verlangten, minimalen Vollzeitstellenprozente des Pflegepersonals muss über das Diplom Experte in Intensivpflege NDS HF oder eine gleichwertige Ausbildung verfügen. Über die Gleichwertigkeit entscheidet der Vorstand der SGI.</v>
      </c>
      <c r="AB261" s="361" t="str">
        <f>Kriterien!S177</f>
        <v>Au moins un tiers des équivalents plein temps du personnel soignant requis au minimum doit être titulaire du diplôme d’expert en soins intensifs EPD ES ou avoir suivi une formation équivalente. C’est le comité de la SSMI qui décide de l’équivalence.</v>
      </c>
      <c r="AC261" s="364" t="str">
        <f t="shared" si="37"/>
        <v>Mindestens ein Drittel der verlangten, minimalen Vollzeitstellenprozente des Pflegepersonals muss über das Diplom Experte in Intensivpflege NDS HF oder eine gleichwertige Ausbildung verfügen. Über die Gleichwertigkeit entscheidet der Vorstand der SGI.</v>
      </c>
      <c r="AD261" s="673" t="str">
        <f>Kriterien!U177</f>
        <v>Reglement und Visitation</v>
      </c>
      <c r="AE261" s="622" t="str">
        <f>Kriterien!V177</f>
        <v>Règlement et visite</v>
      </c>
      <c r="AF261" s="623" t="str">
        <f t="shared" si="38"/>
        <v>Reglement und Visitation</v>
      </c>
    </row>
    <row r="262" spans="1:32" s="116" customFormat="1" ht="125" customHeight="1">
      <c r="A262" s="305">
        <f>'2 Autodeklaration'!A175</f>
        <v>0</v>
      </c>
      <c r="B262" s="306"/>
      <c r="C262" s="299"/>
      <c r="D262" s="433"/>
      <c r="E262" s="581" t="s">
        <v>314</v>
      </c>
      <c r="F262" s="120" t="str">
        <f t="shared" si="39"/>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G262" s="544" t="str">
        <f t="shared" si="42"/>
        <v>Reglement und Visitation</v>
      </c>
      <c r="H262" s="566" t="str">
        <f>IF('2 Autodeklaration'!F175=0,"",'2 Autodeklaration'!F175)</f>
        <v/>
      </c>
      <c r="I262" s="567"/>
      <c r="J262" s="652"/>
      <c r="K262" s="724" t="str">
        <f t="shared" si="40"/>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L262" s="2293"/>
      <c r="M262" s="1284"/>
      <c r="N262" s="1279"/>
      <c r="O262" s="595"/>
      <c r="P262" s="599"/>
      <c r="AA262" s="360" t="str">
        <f>Kriterien!R178</f>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AB262" s="361" t="str">
        <f>Kriterien!S178</f>
        <v>Au moins un membre du personnel soignant par horaire infirmier travaillant au lit du patient doit être titulaire du diplôme d’expert en soins intensifs EPD ES ou équivalent, conformément à la définition donnée dans la section précédente. Pour des USI de 6 lits et 15 EPT, au minimum 40 % (= 6 EPT) du personnel doit être titulaire du diplôme d’expert en soins intensifs EPD ES pour pouvoir répondre à cette exigence.</v>
      </c>
      <c r="AC262" s="364" t="str">
        <f t="shared" si="37"/>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AD262" s="673" t="str">
        <f>Kriterien!U178</f>
        <v>Reglement und Visitation</v>
      </c>
      <c r="AE262" s="622" t="str">
        <f>Kriterien!V178</f>
        <v>Règlement et visite</v>
      </c>
      <c r="AF262" s="623" t="str">
        <f t="shared" si="38"/>
        <v>Reglement und Visitation</v>
      </c>
    </row>
    <row r="263" spans="1:32" s="116" customFormat="1" ht="101" customHeight="1" thickBot="1">
      <c r="A263" s="305">
        <f>'2 Autodeklaration'!A176</f>
        <v>0</v>
      </c>
      <c r="B263" s="306"/>
      <c r="C263" s="299"/>
      <c r="D263" s="433"/>
      <c r="E263" s="581" t="s">
        <v>315</v>
      </c>
      <c r="F263" s="120" t="str">
        <f t="shared" si="39"/>
        <v>Werden Fachangestellte Gesundheit (FaGe) in der IS eingesetzt, darf ihr Stellenanteil 5% des Gesamtbedarfs an Pflegestellen nicht überschreiten. Sind mehr als 5% FaGe angestellt, wird der Anteil &gt;5% der Gruppe Hilfspersonal zugeordnet.</v>
      </c>
      <c r="G263" s="544" t="str">
        <f t="shared" si="42"/>
        <v>Reglement und Visitation</v>
      </c>
      <c r="H263" s="566" t="str">
        <f>IF('2 Autodeklaration'!F176=0,"",'2 Autodeklaration'!F176)</f>
        <v/>
      </c>
      <c r="I263" s="567"/>
      <c r="J263" s="652"/>
      <c r="K263" s="724" t="str">
        <f t="shared" si="40"/>
        <v>Werden Fachangestellte Gesundheit (FaGe) in der IS eingesetzt, darf ihr Stellenanteil 5% des Gesamtbedarfs an Pflegestellen nicht überschreiten. Sind mehr als 5% FaGe angestellt, wird der Anteil &gt;5% der Gruppe Hilfspersonal zugeordnet.</v>
      </c>
      <c r="L263" s="2294"/>
      <c r="M263" s="1284"/>
      <c r="N263" s="1279"/>
      <c r="O263" s="595"/>
      <c r="P263" s="599"/>
      <c r="AA263" s="360" t="str">
        <f>Kriterien!R179</f>
        <v>Werden Fachangestellte Gesundheit (FaGe) in der IS eingesetzt, darf ihr Stellenanteil 5% des Gesamtbedarfs an Pflegestellen nicht überschreiten. Sind mehr als 5% FaGe angestellt, wird der Anteil &gt;5% der Gruppe Hilfspersonal zugeordnet.</v>
      </c>
      <c r="AB263" s="361" t="str">
        <f>Kriterien!S179</f>
        <v>Si l’USI emploie des assistants en soins et santé communautaire (ASSC), leur nombre ne doit pas dépasser 5 % des besoins globaux en personnel soignant. S'ils représentent plus de 5 % de l'ensemble des soignants, le pourcentage qui excède les 5 % est attribué au groupe du personnel auxiliaire.</v>
      </c>
      <c r="AC263" s="364" t="str">
        <f t="shared" si="37"/>
        <v>Werden Fachangestellte Gesundheit (FaGe) in der IS eingesetzt, darf ihr Stellenanteil 5% des Gesamtbedarfs an Pflegestellen nicht überschreiten. Sind mehr als 5% FaGe angestellt, wird der Anteil &gt;5% der Gruppe Hilfspersonal zugeordnet.</v>
      </c>
      <c r="AD263" s="673" t="str">
        <f>Kriterien!U179</f>
        <v>Reglement und Visitation</v>
      </c>
      <c r="AE263" s="622" t="str">
        <f>Kriterien!V179</f>
        <v>Règlement et visite</v>
      </c>
      <c r="AF263" s="623" t="str">
        <f t="shared" si="38"/>
        <v>Reglement und Visitation</v>
      </c>
    </row>
    <row r="264" spans="1:32" s="116" customFormat="1" ht="30" customHeight="1">
      <c r="A264" s="305"/>
      <c r="B264" s="306"/>
      <c r="C264" s="2157"/>
      <c r="D264" s="433"/>
      <c r="E264" s="579">
        <v>4.3</v>
      </c>
      <c r="F264" s="129" t="str">
        <f t="shared" si="39"/>
        <v>Physiotherapie, Ergotherapie und Logopädie</v>
      </c>
      <c r="G264" s="553" t="str">
        <f t="shared" si="42"/>
        <v/>
      </c>
      <c r="H264" s="566" t="str">
        <f>IF('2 Autodeklaration'!F177=0,"",'2 Autodeklaration'!F177)</f>
        <v/>
      </c>
      <c r="I264" s="567"/>
      <c r="J264" s="694"/>
      <c r="K264" s="736" t="str">
        <f t="shared" si="40"/>
        <v>Physiotherapie, Ergotherapie und Logopädie</v>
      </c>
      <c r="L264" s="1266"/>
      <c r="M264" s="1284"/>
      <c r="N264" s="1279"/>
      <c r="O264" s="595"/>
      <c r="P264" s="599"/>
      <c r="AA264" s="360" t="str">
        <f>Kriterien!R180</f>
        <v>Physiotherapie, Ergotherapie und Logopädie</v>
      </c>
      <c r="AB264" s="361" t="str">
        <f>Kriterien!S180</f>
        <v>Physiothérapeutes, ergothérapeutes et logopédistes</v>
      </c>
      <c r="AC264" s="364" t="str">
        <f t="shared" si="37"/>
        <v>Physiotherapie, Ergotherapie und Logopädie</v>
      </c>
      <c r="AD264" s="673">
        <f>Kriterien!U180</f>
        <v>0</v>
      </c>
      <c r="AE264" s="622">
        <f>Kriterien!V180</f>
        <v>0</v>
      </c>
      <c r="AF264" s="623" t="str">
        <f t="shared" si="38"/>
        <v/>
      </c>
    </row>
    <row r="265" spans="1:32" s="116" customFormat="1" ht="40" customHeight="1">
      <c r="A265" s="305">
        <f>'2 Autodeklaration'!A178</f>
        <v>0</v>
      </c>
      <c r="B265" s="306"/>
      <c r="C265" s="299"/>
      <c r="D265" s="433"/>
      <c r="E265" s="581" t="s">
        <v>271</v>
      </c>
      <c r="F265" s="122" t="str">
        <f t="shared" si="39"/>
        <v xml:space="preserve">Die IS soll täglich auf Anforderung Physiotherapiedienstleistungen in Anspruch nehmen können. </v>
      </c>
      <c r="G265" s="544" t="str">
        <f t="shared" si="42"/>
        <v>Reglement und Visitation</v>
      </c>
      <c r="H265" s="566" t="str">
        <f>IF('2 Autodeklaration'!F178=0,"",'2 Autodeklaration'!F178)</f>
        <v/>
      </c>
      <c r="I265" s="567"/>
      <c r="J265" s="688"/>
      <c r="K265" s="725" t="str">
        <f t="shared" si="40"/>
        <v xml:space="preserve">Die IS soll täglich auf Anforderung Physiotherapiedienstleistungen in Anspruch nehmen können. </v>
      </c>
      <c r="L265" s="1256"/>
      <c r="M265" s="1284"/>
      <c r="N265" s="1279"/>
      <c r="O265" s="595"/>
      <c r="P265" s="599"/>
      <c r="AA265" s="360" t="str">
        <f>Kriterien!R181</f>
        <v xml:space="preserve">Die IS soll täglich auf Anforderung Physiotherapiedienstleistungen in Anspruch nehmen können. </v>
      </c>
      <c r="AB265" s="361" t="str">
        <f>Kriterien!S181</f>
        <v xml:space="preserve">L'USI doit au quotidien pouvoir recourir aux physiothérapeutes.. </v>
      </c>
      <c r="AC265" s="364" t="str">
        <f t="shared" si="37"/>
        <v xml:space="preserve">Die IS soll täglich auf Anforderung Physiotherapiedienstleistungen in Anspruch nehmen können. </v>
      </c>
      <c r="AD265" s="673" t="str">
        <f>Kriterien!U181</f>
        <v>Reglement und Visitation</v>
      </c>
      <c r="AE265" s="622" t="str">
        <f>Kriterien!V181</f>
        <v>Règlement et visite</v>
      </c>
      <c r="AF265" s="623" t="str">
        <f t="shared" si="38"/>
        <v>Reglement und Visitation</v>
      </c>
    </row>
    <row r="266" spans="1:32" s="116" customFormat="1" ht="40" customHeight="1">
      <c r="A266" s="305"/>
      <c r="B266" s="306">
        <f>'2 Autodeklaration'!B179</f>
        <v>0</v>
      </c>
      <c r="C266" s="2157"/>
      <c r="D266" s="300"/>
      <c r="E266" s="581" t="s">
        <v>272</v>
      </c>
      <c r="F266" s="120" t="str">
        <f t="shared" si="39"/>
        <v>Je nach Patientengut muss eine IS Zugriff auf ergotherapeutische und logopädische Fachkompetenz nachweisen können.</v>
      </c>
      <c r="G266" s="544" t="str">
        <f t="shared" si="42"/>
        <v>Reglement und Visitation</v>
      </c>
      <c r="H266" s="566" t="str">
        <f>IF('2 Autodeklaration'!F179=0,"",'2 Autodeklaration'!F179)</f>
        <v/>
      </c>
      <c r="I266" s="567"/>
      <c r="J266" s="689"/>
      <c r="K266" s="724" t="str">
        <f t="shared" si="40"/>
        <v>Je nach Patientengut muss eine IS Zugriff auf ergotherapeutische und logopädische Fachkompetenz nachweisen können.</v>
      </c>
      <c r="L266" s="1260"/>
      <c r="M266" s="1284"/>
      <c r="N266" s="1279"/>
      <c r="O266" s="595"/>
      <c r="P266" s="599"/>
      <c r="AA266" s="360" t="str">
        <f>Kriterien!R182</f>
        <v>Je nach Patientengut muss eine IS Zugriff auf ergotherapeutische und logopädische Fachkompetenz nachweisen können.</v>
      </c>
      <c r="AB266" s="361" t="str">
        <f>Kriterien!S182</f>
        <v>Selon les besoins des patients, l’USI doit pouvoir recourir à un spécialiste en ergothérapie et en logopédie.</v>
      </c>
      <c r="AC266" s="364" t="str">
        <f t="shared" si="37"/>
        <v>Je nach Patientengut muss eine IS Zugriff auf ergotherapeutische und logopädische Fachkompetenz nachweisen können.</v>
      </c>
      <c r="AD266" s="673" t="str">
        <f>Kriterien!U182</f>
        <v>Reglement und Visitation</v>
      </c>
      <c r="AE266" s="622" t="str">
        <f>Kriterien!V182</f>
        <v>Règlement et visite</v>
      </c>
      <c r="AF266" s="623" t="str">
        <f t="shared" si="38"/>
        <v>Reglement und Visitation</v>
      </c>
    </row>
    <row r="267" spans="1:32" s="116" customFormat="1" ht="30" customHeight="1">
      <c r="A267" s="305"/>
      <c r="B267" s="306"/>
      <c r="C267" s="2157"/>
      <c r="D267" s="433"/>
      <c r="E267" s="579">
        <v>4.4000000000000004</v>
      </c>
      <c r="F267" s="118" t="str">
        <f t="shared" si="39"/>
        <v>Hilfspersonal</v>
      </c>
      <c r="G267" s="548" t="str">
        <f t="shared" si="42"/>
        <v>4.3-6.
Zusätzliches Personal</v>
      </c>
      <c r="H267" s="566" t="str">
        <f>IF('2 Autodeklaration'!F180=0,"",'2 Autodeklaration'!F180)</f>
        <v/>
      </c>
      <c r="I267" s="567"/>
      <c r="J267" s="690"/>
      <c r="K267" s="723" t="str">
        <f t="shared" si="40"/>
        <v>Hilfspersonal</v>
      </c>
      <c r="L267" s="1260"/>
      <c r="M267" s="1284"/>
      <c r="N267" s="1279"/>
      <c r="O267" s="595"/>
      <c r="P267" s="599"/>
      <c r="AA267" s="360" t="str">
        <f>Kriterien!R183</f>
        <v>Hilfspersonal</v>
      </c>
      <c r="AB267" s="361" t="str">
        <f>Kriterien!S183</f>
        <v>Personnel auxiliaire</v>
      </c>
      <c r="AC267" s="364" t="str">
        <f t="shared" si="37"/>
        <v>Hilfspersonal</v>
      </c>
      <c r="AD267" s="670" t="s">
        <v>876</v>
      </c>
      <c r="AE267" s="616" t="s">
        <v>877</v>
      </c>
      <c r="AF267" s="623" t="str">
        <f t="shared" si="38"/>
        <v>4.3-6.
Zusätzliches Personal</v>
      </c>
    </row>
    <row r="268" spans="1:32" s="116" customFormat="1" ht="147" customHeight="1" thickBot="1">
      <c r="A268" s="305"/>
      <c r="B268" s="306">
        <f>'2 Autodeklaration'!B181</f>
        <v>0</v>
      </c>
      <c r="C268" s="2157"/>
      <c r="D268" s="300"/>
      <c r="E268" s="581" t="s">
        <v>273</v>
      </c>
      <c r="F268" s="122" t="str">
        <f t="shared" si="39"/>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G268" s="544" t="str">
        <f t="shared" si="42"/>
        <v>Reglement und Visitation</v>
      </c>
      <c r="H268" s="566" t="str">
        <f>IF('2 Autodeklaration'!F181=0,"",'2 Autodeklaration'!F181)</f>
        <v/>
      </c>
      <c r="I268" s="567"/>
      <c r="J268" s="695"/>
      <c r="K268" s="725" t="str">
        <f t="shared" si="40"/>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L268" s="1256"/>
      <c r="M268" s="1284"/>
      <c r="N268" s="1279"/>
      <c r="O268" s="595"/>
      <c r="P268" s="599"/>
      <c r="AA268" s="360" t="str">
        <f>Kriterien!R184</f>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AB268" s="361" t="str">
        <f>Kriterien!S184</f>
        <v>L’USI doit disposer d’un nombre adéquat de personnel auxiliaire. La dotation minimale exigée de soignants selon 4.2.2 présuppose une dotation de base en personnel auxiliaire. Les postes de personnel auxiliaire attribués doivent être dûment documentés. Si tous les travaux auxiliaires sont effectués par du personnel soignant diplômé, les postes prévus pour ces travaux auxiliaires (non liés aux patients) doivent être déclarés séparément et sont déduits de la dotation minimale pour les missions liées aux patients.</v>
      </c>
      <c r="AC268" s="364" t="str">
        <f t="shared" si="37"/>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AD268" s="673" t="str">
        <f>Kriterien!U184</f>
        <v>Reglement und Visitation</v>
      </c>
      <c r="AE268" s="622" t="str">
        <f>Kriterien!V184</f>
        <v>Règlement et visite</v>
      </c>
      <c r="AF268" s="623" t="str">
        <f t="shared" si="38"/>
        <v>Reglement und Visitation</v>
      </c>
    </row>
    <row r="269" spans="1:32" s="116" customFormat="1" ht="30" customHeight="1">
      <c r="A269" s="305"/>
      <c r="B269" s="306"/>
      <c r="C269" s="2157"/>
      <c r="D269" s="433"/>
      <c r="E269" s="579" t="s">
        <v>120</v>
      </c>
      <c r="F269" s="118" t="str">
        <f t="shared" si="39"/>
        <v>Technisches Personal</v>
      </c>
      <c r="G269" s="548" t="str">
        <f t="shared" si="42"/>
        <v/>
      </c>
      <c r="H269" s="566" t="str">
        <f>IF('2 Autodeklaration'!F182=0,"",'2 Autodeklaration'!F182)</f>
        <v/>
      </c>
      <c r="I269" s="567"/>
      <c r="J269" s="696"/>
      <c r="K269" s="723" t="str">
        <f t="shared" si="40"/>
        <v>Technisches Personal</v>
      </c>
      <c r="L269" s="1262" t="str">
        <f>AF100&amp;AF267</f>
        <v>Abschliessender Kommentar Kapitel 4.3-6.
Zusätzliches Personal</v>
      </c>
      <c r="M269" s="1284"/>
      <c r="N269" s="1279"/>
      <c r="O269" s="595"/>
      <c r="P269" s="599"/>
      <c r="AA269" s="360" t="str">
        <f>Kriterien!R185</f>
        <v>Technisches Personal</v>
      </c>
      <c r="AB269" s="361" t="str">
        <f>Kriterien!S185</f>
        <v>Personnel technique</v>
      </c>
      <c r="AC269" s="364" t="str">
        <f t="shared" si="37"/>
        <v>Technisches Personal</v>
      </c>
      <c r="AD269" s="673">
        <f>Kriterien!U185</f>
        <v>0</v>
      </c>
      <c r="AE269" s="622">
        <f>Kriterien!V185</f>
        <v>0</v>
      </c>
      <c r="AF269" s="623" t="str">
        <f t="shared" si="38"/>
        <v/>
      </c>
    </row>
    <row r="270" spans="1:32" s="116" customFormat="1" ht="142" customHeight="1">
      <c r="A270" s="305"/>
      <c r="B270" s="306">
        <f>'2 Autodeklaration'!B183</f>
        <v>0</v>
      </c>
      <c r="C270" s="2157"/>
      <c r="D270" s="300"/>
      <c r="E270" s="581" t="s">
        <v>274</v>
      </c>
      <c r="F270" s="122" t="str">
        <f t="shared" si="39"/>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G270" s="544" t="str">
        <f t="shared" si="42"/>
        <v>Reglement und Visitation</v>
      </c>
      <c r="H270" s="566" t="str">
        <f>IF('2 Autodeklaration'!F183=0,"",'2 Autodeklaration'!F183)</f>
        <v/>
      </c>
      <c r="I270" s="567"/>
      <c r="J270" s="696"/>
      <c r="K270" s="725" t="str">
        <f t="shared" si="40"/>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L270" s="2281"/>
      <c r="M270" s="1284"/>
      <c r="N270" s="1279"/>
      <c r="O270" s="595"/>
      <c r="P270" s="599"/>
      <c r="AA270" s="360" t="str">
        <f>Kriterien!R186</f>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AB270" s="361" t="str">
        <f>Kriterien!S186</f>
        <v xml:space="preserve">La nécessité d’intégrer dans le personnel de l’USI des techniciens, laborantins, informaticiens, etc., dépend des installations et des appareils utilisés ainsi que des réalités internes de l’hôpital. Le personnel soignant relevant de la dotation minimale attribuée aux missions liées aux patients ne doit pas être détourné de sa tâche pour s'occuper de l’entretien des appareils de surveillance, appareils respiratoires, appareils de laboratoire et autres installations techniques, ni du réseaux ni des ordinateurs. </v>
      </c>
      <c r="AC270" s="364" t="str">
        <f t="shared" si="37"/>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AD270" s="673" t="str">
        <f>Kriterien!U186</f>
        <v>Reglement und Visitation</v>
      </c>
      <c r="AE270" s="622" t="str">
        <f>Kriterien!V186</f>
        <v>Règlement et visite</v>
      </c>
      <c r="AF270" s="623" t="str">
        <f t="shared" si="38"/>
        <v>Reglement und Visitation</v>
      </c>
    </row>
    <row r="271" spans="1:32" s="116" customFormat="1" ht="30" customHeight="1">
      <c r="A271" s="305"/>
      <c r="B271" s="306"/>
      <c r="C271" s="2157"/>
      <c r="D271" s="433"/>
      <c r="E271" s="579">
        <v>4.5999999999999996</v>
      </c>
      <c r="F271" s="118" t="str">
        <f t="shared" si="39"/>
        <v>Sekretariat</v>
      </c>
      <c r="G271" s="548" t="str">
        <f t="shared" si="42"/>
        <v/>
      </c>
      <c r="H271" s="566" t="str">
        <f>IF('2 Autodeklaration'!F184=0,"",'2 Autodeklaration'!F184)</f>
        <v/>
      </c>
      <c r="I271" s="567"/>
      <c r="J271" s="696"/>
      <c r="K271" s="723" t="str">
        <f t="shared" si="40"/>
        <v>Sekretariat</v>
      </c>
      <c r="L271" s="2247"/>
      <c r="M271" s="1284"/>
      <c r="N271" s="1279"/>
      <c r="O271" s="595"/>
      <c r="P271" s="599"/>
      <c r="AA271" s="360" t="str">
        <f>Kriterien!R187</f>
        <v>Sekretariat</v>
      </c>
      <c r="AB271" s="361" t="str">
        <f>Kriterien!S187</f>
        <v>Secrétariat</v>
      </c>
      <c r="AC271" s="364" t="str">
        <f t="shared" si="37"/>
        <v>Sekretariat</v>
      </c>
      <c r="AD271" s="673">
        <f>Kriterien!U187</f>
        <v>0</v>
      </c>
      <c r="AE271" s="622">
        <f>Kriterien!V187</f>
        <v>0</v>
      </c>
      <c r="AF271" s="623" t="str">
        <f t="shared" si="38"/>
        <v/>
      </c>
    </row>
    <row r="272" spans="1:32" s="116" customFormat="1" ht="57" customHeight="1" thickBot="1">
      <c r="A272" s="305">
        <f>'2 Autodeklaration'!A185</f>
        <v>0</v>
      </c>
      <c r="B272" s="306"/>
      <c r="C272" s="299"/>
      <c r="D272" s="434"/>
      <c r="E272" s="581" t="s">
        <v>275</v>
      </c>
      <c r="F272" s="119" t="str">
        <f t="shared" si="39"/>
        <v>Pro 6 Betten mindestens 50%-Vollzeitäquivalent (bei aoIS 30% entsprechend den reduzierten Leistungszahlen).</v>
      </c>
      <c r="G272" s="544" t="str">
        <f t="shared" si="42"/>
        <v>Reglement und Visitation</v>
      </c>
      <c r="H272" s="566" t="str">
        <f>IF('2 Autodeklaration'!F185=0,"",'2 Autodeklaration'!F185)</f>
        <v/>
      </c>
      <c r="I272" s="567"/>
      <c r="J272" s="696"/>
      <c r="K272" s="737" t="str">
        <f t="shared" si="40"/>
        <v>Pro 6 Betten mindestens 50%-Vollzeitäquivalent (bei aoIS 30% entsprechend den reduzierten Leistungszahlen).</v>
      </c>
      <c r="L272" s="2248"/>
      <c r="M272" s="1284"/>
      <c r="N272" s="1279"/>
      <c r="O272" s="595"/>
      <c r="P272" s="599"/>
      <c r="AA272" s="360" t="str">
        <f>Kriterien!R188</f>
        <v>Pro 6 Betten mindestens 50%-Vollzeitäquivalent (bei aoIS 30% entsprechend den reduzierten Leistungszahlen).</v>
      </c>
      <c r="AB272" s="361" t="str">
        <f>Kriterien!S188</f>
        <v>Il est nécessaire d'engager au moins 50 % d'équivalent plein temps pour 6 lits. (Pour les Unités de soins intensifs (USI) extraordinaires, 30 % correspondant au nombre de prestations réduit).</v>
      </c>
      <c r="AC272" s="364" t="str">
        <f t="shared" si="37"/>
        <v>Pro 6 Betten mindestens 50%-Vollzeitäquivalent (bei aoIS 30% entsprechend den reduzierten Leistungszahlen).</v>
      </c>
      <c r="AD272" s="673" t="str">
        <f>Kriterien!U188</f>
        <v>Reglement und Visitation</v>
      </c>
      <c r="AE272" s="622" t="str">
        <f>Kriterien!V188</f>
        <v>Règlement et visite</v>
      </c>
      <c r="AF272" s="623" t="str">
        <f t="shared" si="38"/>
        <v>Reglement und Visitation</v>
      </c>
    </row>
    <row r="273" spans="1:32" s="365" customFormat="1" ht="30" customHeight="1">
      <c r="A273" s="441"/>
      <c r="B273" s="442"/>
      <c r="C273" s="2159"/>
      <c r="D273" s="432"/>
      <c r="E273" s="39">
        <v>5</v>
      </c>
      <c r="F273" s="130" t="str">
        <f t="shared" si="39"/>
        <v>Diagnostik und Monitoring</v>
      </c>
      <c r="G273" s="554" t="str">
        <f t="shared" si="42"/>
        <v/>
      </c>
      <c r="H273" s="568" t="str">
        <f>IF('2 Autodeklaration'!F186=0,"",'2 Autodeklaration'!F186)</f>
        <v/>
      </c>
      <c r="I273" s="565"/>
      <c r="J273" s="691"/>
      <c r="K273" s="738" t="str">
        <f t="shared" si="40"/>
        <v>Diagnostik und Monitoring</v>
      </c>
      <c r="L273" s="1259"/>
      <c r="M273" s="1284"/>
      <c r="N273" s="1279"/>
      <c r="O273" s="595"/>
      <c r="P273" s="599"/>
      <c r="AA273" s="360" t="str">
        <f>Kriterien!R189</f>
        <v>Diagnostik und Monitoring</v>
      </c>
      <c r="AB273" s="361" t="str">
        <f>Kriterien!S189</f>
        <v>Diagnostic et monitorage</v>
      </c>
      <c r="AC273" s="364" t="str">
        <f t="shared" si="37"/>
        <v>Diagnostik und Monitoring</v>
      </c>
      <c r="AD273" s="673">
        <f>Kriterien!U189</f>
        <v>0</v>
      </c>
      <c r="AE273" s="622">
        <f>Kriterien!V189</f>
        <v>0</v>
      </c>
      <c r="AF273" s="623" t="str">
        <f t="shared" si="38"/>
        <v/>
      </c>
    </row>
    <row r="274" spans="1:32" s="116" customFormat="1" ht="30" customHeight="1">
      <c r="A274" s="305"/>
      <c r="B274" s="306"/>
      <c r="C274" s="2157"/>
      <c r="D274" s="433"/>
      <c r="E274" s="579">
        <v>5.0999999999999996</v>
      </c>
      <c r="F274" s="118" t="str">
        <f t="shared" si="39"/>
        <v>Laboruntersuchungen</v>
      </c>
      <c r="G274" s="547" t="str">
        <f t="shared" si="42"/>
        <v/>
      </c>
      <c r="H274" s="566" t="str">
        <f>IF('2 Autodeklaration'!F187=0,"",'2 Autodeklaration'!F187)</f>
        <v/>
      </c>
      <c r="I274" s="567"/>
      <c r="J274" s="688"/>
      <c r="K274" s="723" t="str">
        <f t="shared" si="40"/>
        <v>Laboruntersuchungen</v>
      </c>
      <c r="L274" s="1256"/>
      <c r="M274" s="1284"/>
      <c r="N274" s="1279"/>
      <c r="O274" s="595"/>
      <c r="P274" s="599"/>
      <c r="AA274" s="360" t="str">
        <f>Kriterien!R190</f>
        <v>Laboruntersuchungen</v>
      </c>
      <c r="AB274" s="361" t="str">
        <f>Kriterien!S190</f>
        <v>Examens de laboratoire</v>
      </c>
      <c r="AC274" s="364" t="str">
        <f t="shared" si="37"/>
        <v>Laboruntersuchungen</v>
      </c>
      <c r="AD274" s="673">
        <f>Kriterien!U190</f>
        <v>0</v>
      </c>
      <c r="AE274" s="622">
        <f>Kriterien!V190</f>
        <v>0</v>
      </c>
      <c r="AF274" s="623" t="str">
        <f t="shared" si="38"/>
        <v/>
      </c>
    </row>
    <row r="275" spans="1:32" s="116" customFormat="1" ht="30" customHeight="1">
      <c r="A275" s="305">
        <f>'2 Autodeklaration'!A188</f>
        <v>0</v>
      </c>
      <c r="B275" s="306"/>
      <c r="C275" s="299"/>
      <c r="D275" s="433"/>
      <c r="E275" s="581" t="s">
        <v>276</v>
      </c>
      <c r="F275" s="121" t="str">
        <f t="shared" si="39"/>
        <v>Ein Notfalllabor muss rund um die Uhr verfügbar sein.</v>
      </c>
      <c r="G275" s="544" t="str">
        <f t="shared" si="42"/>
        <v>Visitation</v>
      </c>
      <c r="H275" s="566" t="str">
        <f>IF('2 Autodeklaration'!F188=0,"",'2 Autodeklaration'!F188)</f>
        <v/>
      </c>
      <c r="I275" s="567"/>
      <c r="J275" s="688"/>
      <c r="K275" s="726" t="str">
        <f t="shared" si="40"/>
        <v>Ein Notfalllabor muss rund um die Uhr verfügbar sein.</v>
      </c>
      <c r="L275" s="1256"/>
      <c r="M275" s="1284"/>
      <c r="N275" s="1279"/>
      <c r="O275" s="595"/>
      <c r="P275" s="599"/>
      <c r="AA275" s="360" t="str">
        <f>Kriterien!R191</f>
        <v>Ein Notfalllabor muss rund um die Uhr verfügbar sein.</v>
      </c>
      <c r="AB275" s="361" t="str">
        <f>Kriterien!S191</f>
        <v>Un laboratoire d'urgence doit être disponible 24 heures sur 24.</v>
      </c>
      <c r="AC275" s="364" t="str">
        <f t="shared" si="37"/>
        <v>Ein Notfalllabor muss rund um die Uhr verfügbar sein.</v>
      </c>
      <c r="AD275" s="673" t="str">
        <f>Kriterien!U191</f>
        <v>Visitation</v>
      </c>
      <c r="AE275" s="622" t="str">
        <f>Kriterien!V191</f>
        <v>Visite</v>
      </c>
      <c r="AF275" s="623" t="str">
        <f t="shared" si="38"/>
        <v>Visitation</v>
      </c>
    </row>
    <row r="276" spans="1:32" s="116" customFormat="1" ht="90">
      <c r="A276" s="305">
        <f>'2 Autodeklaration'!A189</f>
        <v>0</v>
      </c>
      <c r="B276" s="306"/>
      <c r="C276" s="299"/>
      <c r="D276" s="433"/>
      <c r="E276" s="581" t="s">
        <v>277</v>
      </c>
      <c r="F276" s="120" t="str">
        <f t="shared" si="39"/>
        <v xml:space="preserve">Sämtliche für die Behandlung der jeweiligen Patienten Laborleistungen (Chemie, Hämatologie) müssen entweder intern oder extern und zeitgerecht verfügbar sein. </v>
      </c>
      <c r="G276" s="544" t="str">
        <f t="shared" si="42"/>
        <v>Visitation</v>
      </c>
      <c r="H276" s="566" t="str">
        <f>IF('2 Autodeklaration'!F189=0,"",'2 Autodeklaration'!F189)</f>
        <v/>
      </c>
      <c r="I276" s="567"/>
      <c r="J276" s="688"/>
      <c r="K276" s="724" t="str">
        <f t="shared" si="40"/>
        <v xml:space="preserve">Sämtliche für die Behandlung der jeweiligen Patienten Laborleistungen (Chemie, Hämatologie) müssen entweder intern oder extern und zeitgerecht verfügbar sein. </v>
      </c>
      <c r="L276" s="1256"/>
      <c r="M276" s="1284"/>
      <c r="N276" s="1279"/>
      <c r="O276" s="595"/>
      <c r="P276" s="599"/>
      <c r="AA276" s="360" t="str">
        <f>Kriterien!R192</f>
        <v xml:space="preserve">Sämtliche für die Behandlung der jeweiligen Patienten Laborleistungen (Chemie, Hämatologie) müssen entweder intern oder extern und zeitgerecht verfügbar sein. </v>
      </c>
      <c r="AB276" s="361" t="str">
        <f>Kriterien!S192</f>
        <v xml:space="preserve">Il doit fournir en temps utiles toutes les prestations de laboratoire nécessaires au traitement des patients (biochimie, hématologie), qu'elles soient prises en charge en interne ou sous-traitées. </v>
      </c>
      <c r="AC276" s="364" t="str">
        <f t="shared" ref="AC276:AC364" si="43">IF(AA276=0,"",IF($A$1="D",AA276,AB276))</f>
        <v xml:space="preserve">Sämtliche für die Behandlung der jeweiligen Patienten Laborleistungen (Chemie, Hämatologie) müssen entweder intern oder extern und zeitgerecht verfügbar sein. </v>
      </c>
      <c r="AD276" s="673" t="str">
        <f>Kriterien!U192</f>
        <v>Visitation</v>
      </c>
      <c r="AE276" s="622" t="str">
        <f>Kriterien!V192</f>
        <v>Visite</v>
      </c>
      <c r="AF276" s="623" t="str">
        <f t="shared" ref="AF276:AF346" si="44">IF(AD276=0,"",IF($A$1="D",AD276,AE276))</f>
        <v>Visitation</v>
      </c>
    </row>
    <row r="277" spans="1:32" s="116" customFormat="1" ht="63.75" customHeight="1">
      <c r="A277" s="305">
        <f>'2 Autodeklaration'!A190</f>
        <v>0</v>
      </c>
      <c r="B277" s="306"/>
      <c r="C277" s="299"/>
      <c r="D277" s="433"/>
      <c r="E277" s="581" t="s">
        <v>278</v>
      </c>
      <c r="F277" s="120" t="str">
        <f t="shared" si="39"/>
        <v>Mikrobiologische Untersuchungen inklusive Antibiotikaresistenzprüfungen, sowie Serologien und Virennachweise müssen intern oder extern zeitgerecht zur Verfügung stehen.</v>
      </c>
      <c r="G277" s="544" t="str">
        <f t="shared" si="42"/>
        <v>Visitation</v>
      </c>
      <c r="H277" s="566" t="str">
        <f>IF('2 Autodeklaration'!F190=0,"",'2 Autodeklaration'!F190)</f>
        <v/>
      </c>
      <c r="I277" s="567"/>
      <c r="J277" s="688"/>
      <c r="K277" s="724" t="str">
        <f t="shared" si="40"/>
        <v>Mikrobiologische Untersuchungen inklusive Antibiotikaresistenzprüfungen, sowie Serologien und Virennachweise müssen intern oder extern zeitgerecht zur Verfügung stehen.</v>
      </c>
      <c r="L277" s="1256"/>
      <c r="M277" s="1284"/>
      <c r="N277" s="1279"/>
      <c r="O277" s="595"/>
      <c r="P277" s="599"/>
      <c r="AA277" s="360" t="str">
        <f>Kriterien!R193</f>
        <v>Mikrobiologische Untersuchungen inklusive Antibiotikaresistenzprüfungen, sowie Serologien und Virennachweise müssen intern oder extern zeitgerecht zur Verfügung stehen.</v>
      </c>
      <c r="AB277" s="361" t="str">
        <f>Kriterien!S193</f>
        <v>Les analyses de microbiologie, y compris les tests de résistance aux antibiotiques, les sérologies et examens de virologie, doivent être effectuées en interne ou sous-traitées en temps utiles.</v>
      </c>
      <c r="AC277" s="364" t="str">
        <f t="shared" si="43"/>
        <v>Mikrobiologische Untersuchungen inklusive Antibiotikaresistenzprüfungen, sowie Serologien und Virennachweise müssen intern oder extern zeitgerecht zur Verfügung stehen.</v>
      </c>
      <c r="AD277" s="673" t="str">
        <f>Kriterien!U193</f>
        <v>Visitation</v>
      </c>
      <c r="AE277" s="622" t="str">
        <f>Kriterien!V193</f>
        <v>Visite</v>
      </c>
      <c r="AF277" s="623" t="str">
        <f t="shared" si="44"/>
        <v>Visitation</v>
      </c>
    </row>
    <row r="278" spans="1:32" s="116" customFormat="1" ht="99" customHeight="1">
      <c r="A278" s="305">
        <f>'2 Autodeklaration'!A191</f>
        <v>0</v>
      </c>
      <c r="B278" s="306"/>
      <c r="C278" s="301"/>
      <c r="D278" s="433"/>
      <c r="E278" s="587" t="s">
        <v>279</v>
      </c>
      <c r="F278" s="131" t="str">
        <f t="shared" si="39"/>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G278" s="555" t="str">
        <f t="shared" si="42"/>
        <v>Visitation</v>
      </c>
      <c r="H278" s="566" t="str">
        <f>IF('2 Autodeklaration'!F191=0,"",'2 Autodeklaration'!F191)</f>
        <v/>
      </c>
      <c r="I278" s="567"/>
      <c r="J278" s="688"/>
      <c r="K278" s="732" t="str">
        <f t="shared" si="40"/>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L278" s="1256"/>
      <c r="M278" s="1284"/>
      <c r="N278" s="1279"/>
      <c r="O278" s="595"/>
      <c r="P278" s="599"/>
      <c r="AA278" s="360" t="str">
        <f>Kriterien!R194</f>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AB278" s="361" t="str">
        <f>Kriterien!S194</f>
        <v>Dans le cas où l’USI gère son propre appareil de laboratoire, elle doit s’assurer du respect des exigences de la Commission suisse pour l'assurance de qualité dans le laboratoire médical, fondées sur l’article 58 de la loi sur l'assurance-maladie (LAMal) et l’article 77 de l’ordonnance correspondante (OAMal).</v>
      </c>
      <c r="AC278" s="364" t="str">
        <f t="shared" si="43"/>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AD278" s="673" t="str">
        <f>Kriterien!U194</f>
        <v>Visitation</v>
      </c>
      <c r="AE278" s="622" t="str">
        <f>Kriterien!V194</f>
        <v>Visite</v>
      </c>
      <c r="AF278" s="623" t="str">
        <f t="shared" si="44"/>
        <v>Visitation</v>
      </c>
    </row>
    <row r="279" spans="1:32" s="116" customFormat="1" ht="30" customHeight="1">
      <c r="A279" s="305"/>
      <c r="B279" s="306"/>
      <c r="C279" s="2162"/>
      <c r="D279" s="433"/>
      <c r="E279" s="579">
        <v>5.2</v>
      </c>
      <c r="F279" s="118" t="str">
        <f t="shared" si="39"/>
        <v>Radiologie</v>
      </c>
      <c r="G279" s="543" t="str">
        <f t="shared" si="42"/>
        <v>Visitation</v>
      </c>
      <c r="H279" s="566" t="str">
        <f>IF('2 Autodeklaration'!F192=0,"",'2 Autodeklaration'!F192)</f>
        <v/>
      </c>
      <c r="I279" s="567"/>
      <c r="J279" s="688"/>
      <c r="K279" s="723" t="str">
        <f t="shared" si="40"/>
        <v>Radiologie</v>
      </c>
      <c r="L279" s="1256"/>
      <c r="M279" s="1284"/>
      <c r="N279" s="1279"/>
      <c r="O279" s="595"/>
      <c r="P279" s="599"/>
      <c r="AA279" s="360" t="str">
        <f>Kriterien!R195</f>
        <v>Radiologie</v>
      </c>
      <c r="AB279" s="361" t="str">
        <f>Kriterien!S195</f>
        <v>Radiologie</v>
      </c>
      <c r="AC279" s="364" t="str">
        <f t="shared" si="43"/>
        <v>Radiologie</v>
      </c>
      <c r="AD279" s="673" t="str">
        <f>Kriterien!U195</f>
        <v>Visitation</v>
      </c>
      <c r="AE279" s="622" t="str">
        <f>Kriterien!V195</f>
        <v>Visite</v>
      </c>
      <c r="AF279" s="623" t="str">
        <f t="shared" si="44"/>
        <v>Visitation</v>
      </c>
    </row>
    <row r="280" spans="1:32" s="116" customFormat="1" ht="40" customHeight="1">
      <c r="A280" s="305">
        <f>'2 Autodeklaration'!A193</f>
        <v>0</v>
      </c>
      <c r="B280" s="306"/>
      <c r="C280" s="299"/>
      <c r="D280" s="433"/>
      <c r="E280" s="580" t="s">
        <v>280</v>
      </c>
      <c r="F280" s="119" t="str">
        <f t="shared" si="39"/>
        <v>Konventionelle Röntgenaufnahmen von Thorax und Abdomen müssen auf der IS durchgeführt werden können.</v>
      </c>
      <c r="G280" s="544" t="str">
        <f t="shared" si="42"/>
        <v>Visitation</v>
      </c>
      <c r="H280" s="566" t="str">
        <f>IF('2 Autodeklaration'!F193=0,"",'2 Autodeklaration'!F193)</f>
        <v/>
      </c>
      <c r="I280" s="567"/>
      <c r="J280" s="688"/>
      <c r="K280" s="737" t="str">
        <f t="shared" si="40"/>
        <v>Konventionelle Röntgenaufnahmen von Thorax und Abdomen müssen auf der IS durchgeführt werden können.</v>
      </c>
      <c r="L280" s="1256"/>
      <c r="M280" s="1284"/>
      <c r="N280" s="1279"/>
      <c r="O280" s="595"/>
      <c r="P280" s="599"/>
      <c r="AA280" s="360" t="str">
        <f>Kriterien!R196</f>
        <v>Konventionelle Röntgenaufnahmen von Thorax und Abdomen müssen auf der IS durchgeführt werden können.</v>
      </c>
      <c r="AB280" s="361" t="str">
        <f>Kriterien!S196</f>
        <v>Des radiographies classiques du thorax et de l’abdomen doivent pouvoir être réalisées dans l’USI.</v>
      </c>
      <c r="AC280" s="364" t="str">
        <f t="shared" si="43"/>
        <v>Konventionelle Röntgenaufnahmen von Thorax und Abdomen müssen auf der IS durchgeführt werden können.</v>
      </c>
      <c r="AD280" s="673" t="str">
        <f>Kriterien!U196</f>
        <v>Visitation</v>
      </c>
      <c r="AE280" s="622" t="str">
        <f>Kriterien!V196</f>
        <v>Visite</v>
      </c>
      <c r="AF280" s="623" t="str">
        <f t="shared" si="44"/>
        <v>Visitation</v>
      </c>
    </row>
    <row r="281" spans="1:32" s="116" customFormat="1" ht="59" customHeight="1" thickBot="1">
      <c r="A281" s="305">
        <f>'2 Autodeklaration'!A194</f>
        <v>0</v>
      </c>
      <c r="B281" s="306"/>
      <c r="C281" s="299"/>
      <c r="D281" s="433"/>
      <c r="E281" s="579" t="s">
        <v>281</v>
      </c>
      <c r="F281" s="121" t="str">
        <f t="shared" si="39"/>
        <v>Ein Computertomograph muss innerhalb des Spitals kontinuierlich zur Verfügung stehen. Die Befundung der Computertomogramme muss sichergestellt sein.</v>
      </c>
      <c r="G281" s="544" t="str">
        <f t="shared" si="42"/>
        <v/>
      </c>
      <c r="H281" s="566" t="str">
        <f>IF('2 Autodeklaration'!F194=0,"",'2 Autodeklaration'!F194)</f>
        <v/>
      </c>
      <c r="I281" s="567"/>
      <c r="J281" s="689"/>
      <c r="K281" s="726" t="str">
        <f t="shared" si="40"/>
        <v>Ein Computertomograph muss innerhalb des Spitals kontinuierlich zur Verfügung stehen. Die Befundung der Computertomogramme muss sichergestellt sein.</v>
      </c>
      <c r="L281" s="1260"/>
      <c r="M281" s="1284"/>
      <c r="N281" s="1279"/>
      <c r="O281" s="595"/>
      <c r="P281" s="599"/>
      <c r="AA281" s="360" t="str">
        <f>Kriterien!R197</f>
        <v>Ein Computertomograph muss innerhalb des Spitals kontinuierlich zur Verfügung stehen. Die Befundung der Computertomogramme muss sichergestellt sein.</v>
      </c>
      <c r="AB281" s="361" t="str">
        <f>Kriterien!S197</f>
        <v>Un CT doit être disponible en permanence au sein de l’hôpital. L’interprétation des images sannographiques doit être assurée.</v>
      </c>
      <c r="AC281" s="364" t="str">
        <f t="shared" si="43"/>
        <v>Ein Computertomograph muss innerhalb des Spitals kontinuierlich zur Verfügung stehen. Die Befundung der Computertomogramme muss sichergestellt sein.</v>
      </c>
      <c r="AD281" s="673">
        <f>Kriterien!U197</f>
        <v>0</v>
      </c>
      <c r="AE281" s="622" t="str">
        <f>Kriterien!V197</f>
        <v>Visite</v>
      </c>
      <c r="AF281" s="623" t="str">
        <f t="shared" si="44"/>
        <v/>
      </c>
    </row>
    <row r="282" spans="1:32" s="116" customFormat="1" ht="30" customHeight="1">
      <c r="A282" s="305"/>
      <c r="B282" s="306"/>
      <c r="C282" s="2157"/>
      <c r="D282" s="433"/>
      <c r="E282" s="579">
        <v>5.3</v>
      </c>
      <c r="F282" s="118" t="str">
        <f t="shared" si="39"/>
        <v>Weitere diagnostische Untersuchungen</v>
      </c>
      <c r="G282" s="547" t="str">
        <f t="shared" si="42"/>
        <v/>
      </c>
      <c r="H282" s="566" t="str">
        <f>IF('2 Autodeklaration'!F195=0,"",'2 Autodeklaration'!F195)</f>
        <v/>
      </c>
      <c r="I282" s="567"/>
      <c r="J282" s="690"/>
      <c r="K282" s="723" t="str">
        <f t="shared" si="40"/>
        <v>Weitere diagnostische Untersuchungen</v>
      </c>
      <c r="L282" s="1262" t="str">
        <f>AF100&amp;E273&amp;". 
"&amp;F273</f>
        <v>Abschliessender Kommentar Kapitel 5. 
Diagnostik und Monitoring</v>
      </c>
      <c r="M282" s="1284"/>
      <c r="N282" s="1279"/>
      <c r="O282" s="595"/>
      <c r="P282" s="599"/>
      <c r="AA282" s="360" t="str">
        <f>Kriterien!R198</f>
        <v>Weitere diagnostische Untersuchungen</v>
      </c>
      <c r="AB282" s="361" t="str">
        <f>Kriterien!S198</f>
        <v>Autres examens diagnostiques</v>
      </c>
      <c r="AC282" s="364" t="str">
        <f t="shared" si="43"/>
        <v>Weitere diagnostische Untersuchungen</v>
      </c>
      <c r="AD282" s="673">
        <f>Kriterien!U198</f>
        <v>0</v>
      </c>
      <c r="AE282" s="622">
        <f>Kriterien!V198</f>
        <v>0</v>
      </c>
      <c r="AF282" s="623" t="str">
        <f t="shared" si="44"/>
        <v/>
      </c>
    </row>
    <row r="283" spans="1:32" s="116" customFormat="1" ht="86" customHeight="1">
      <c r="A283" s="305">
        <f>'2 Autodeklaration'!A196</f>
        <v>0</v>
      </c>
      <c r="B283" s="306"/>
      <c r="C283" s="299"/>
      <c r="D283" s="433"/>
      <c r="E283" s="579" t="s">
        <v>282</v>
      </c>
      <c r="F283" s="124" t="str">
        <f t="shared" si="39"/>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G283" s="544" t="str">
        <f t="shared" si="42"/>
        <v>Visitation</v>
      </c>
      <c r="H283" s="566" t="str">
        <f>IF('2 Autodeklaration'!F196=0,"",'2 Autodeklaration'!F196)</f>
        <v/>
      </c>
      <c r="I283" s="567"/>
      <c r="J283" s="695"/>
      <c r="K283" s="728" t="str">
        <f t="shared" si="40"/>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L283" s="2249"/>
      <c r="M283" s="1284"/>
      <c r="N283" s="1279"/>
      <c r="O283" s="595"/>
      <c r="P283" s="599"/>
      <c r="AA283" s="360" t="str">
        <f>Kriterien!R199</f>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AB283" s="361" t="str">
        <f>Kriterien!S199</f>
        <v>Les examens et mesures suivants doivent pouvoir être réalisés à tout moment dans l’USI : examens échographiques, échocardiographies, bronchoscopies flexibles, endoscopies digestives haute et basse, électrocardiogrammes à 12 dérivations, poids corporel.</v>
      </c>
      <c r="AC283" s="364" t="str">
        <f t="shared" si="43"/>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AD283" s="673" t="str">
        <f>Kriterien!U199</f>
        <v>Visitation</v>
      </c>
      <c r="AE283" s="622" t="str">
        <f>Kriterien!V199</f>
        <v>Visite</v>
      </c>
      <c r="AF283" s="623" t="str">
        <f t="shared" si="44"/>
        <v>Visitation</v>
      </c>
    </row>
    <row r="284" spans="1:32" s="116" customFormat="1" ht="30" customHeight="1">
      <c r="A284" s="305"/>
      <c r="B284" s="306"/>
      <c r="C284" s="2157"/>
      <c r="D284" s="433"/>
      <c r="E284" s="579">
        <v>5.4</v>
      </c>
      <c r="F284" s="118" t="str">
        <f t="shared" si="39"/>
        <v>Notwendige Überwachungsgeräte (Monitoring)</v>
      </c>
      <c r="G284" s="547" t="str">
        <f t="shared" si="42"/>
        <v/>
      </c>
      <c r="H284" s="566" t="str">
        <f>IF('2 Autodeklaration'!F197=0,"",'2 Autodeklaration'!F197)</f>
        <v/>
      </c>
      <c r="I284" s="567"/>
      <c r="J284" s="695"/>
      <c r="K284" s="723" t="str">
        <f t="shared" si="40"/>
        <v>Notwendige Überwachungsgeräte (Monitoring)</v>
      </c>
      <c r="L284" s="2250"/>
      <c r="M284" s="1284"/>
      <c r="N284" s="1279"/>
      <c r="O284" s="595"/>
      <c r="P284" s="599"/>
      <c r="AA284" s="360" t="str">
        <f>Kriterien!R200</f>
        <v>Notwendige Überwachungsgeräte (Monitoring)</v>
      </c>
      <c r="AB284" s="361" t="str">
        <f>Kriterien!S200</f>
        <v>Appareils indispensables à la surveillance (monitorage)</v>
      </c>
      <c r="AC284" s="364" t="str">
        <f t="shared" si="43"/>
        <v>Notwendige Überwachungsgeräte (Monitoring)</v>
      </c>
      <c r="AD284" s="673">
        <f>Kriterien!U200</f>
        <v>0</v>
      </c>
      <c r="AE284" s="622">
        <f>Kriterien!V200</f>
        <v>0</v>
      </c>
      <c r="AF284" s="623" t="str">
        <f t="shared" si="44"/>
        <v/>
      </c>
    </row>
    <row r="285" spans="1:32" s="116" customFormat="1" ht="134" customHeight="1" thickBot="1">
      <c r="A285" s="305">
        <f>'2 Autodeklaration'!A198</f>
        <v>0</v>
      </c>
      <c r="B285" s="306"/>
      <c r="C285" s="299"/>
      <c r="D285" s="433"/>
      <c r="E285" s="579" t="s">
        <v>283</v>
      </c>
      <c r="F285" s="132" t="str">
        <f t="shared" si="39"/>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G285" s="543" t="str">
        <f t="shared" si="42"/>
        <v>Visitation</v>
      </c>
      <c r="H285" s="566" t="str">
        <f>IF('2 Autodeklaration'!F198=0,"",'2 Autodeklaration'!F198)</f>
        <v/>
      </c>
      <c r="I285" s="567"/>
      <c r="J285" s="695"/>
      <c r="K285" s="739" t="str">
        <f t="shared" si="40"/>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L285" s="2251"/>
      <c r="M285" s="1284"/>
      <c r="N285" s="1279"/>
      <c r="O285" s="595"/>
      <c r="P285" s="599"/>
      <c r="AA285" s="360" t="str">
        <f>Kriterien!R201</f>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AB285" s="361" t="str">
        <f>Kriterien!S201</f>
        <v xml:space="preserve">L'USI dispose d'un nombre suffisant de moniteurs permettant la surveillance de tous les patients. Surveillance cardiovasculaire : surveillance permanente de l’ECG et de la pression artérielle et veineuse invasive et mesure intermittente ou continue du débit cardiaque. Surveillance respiratoire : oxymétrie de pouls, CO2 télé-expiratoire, fréquence respiratoire. Température corporelle, y compris surveillance de l'hypothermie. </v>
      </c>
      <c r="AC285" s="364" t="str">
        <f t="shared" si="43"/>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AD285" s="673" t="str">
        <f>Kriterien!U201</f>
        <v>Visitation</v>
      </c>
      <c r="AE285" s="622" t="str">
        <f>Kriterien!V201</f>
        <v>Visite</v>
      </c>
      <c r="AF285" s="623" t="str">
        <f t="shared" si="44"/>
        <v>Visitation</v>
      </c>
    </row>
    <row r="286" spans="1:32" s="116" customFormat="1" ht="49" customHeight="1" thickBot="1">
      <c r="A286" s="305">
        <f>'2 Autodeklaration'!A199</f>
        <v>0</v>
      </c>
      <c r="B286" s="306"/>
      <c r="C286" s="299"/>
      <c r="D286" s="433"/>
      <c r="E286" s="579" t="s">
        <v>284</v>
      </c>
      <c r="F286" s="120" t="str">
        <f t="shared" si="39"/>
        <v>Die vorhandenen und eingesetzten Monitoringmethoden entsprechen generell dem Patientengut der Station in Art und Schweregrad der Erkrankung.</v>
      </c>
      <c r="G286" s="543" t="str">
        <f t="shared" si="42"/>
        <v>Visitation</v>
      </c>
      <c r="H286" s="566" t="str">
        <f>IF('2 Autodeklaration'!F199=0,"",'2 Autodeklaration'!F199)</f>
        <v/>
      </c>
      <c r="I286" s="567"/>
      <c r="J286" s="697"/>
      <c r="K286" s="724" t="str">
        <f t="shared" si="40"/>
        <v>Die vorhandenen und eingesetzten Monitoringmethoden entsprechen generell dem Patientengut der Station in Art und Schweregrad der Erkrankung.</v>
      </c>
      <c r="L286" s="1267"/>
      <c r="M286" s="1284"/>
      <c r="N286" s="1279"/>
      <c r="O286" s="595"/>
      <c r="P286" s="599"/>
      <c r="AA286" s="360" t="str">
        <f>Kriterien!R202</f>
        <v>Die vorhandenen und eingesetzten Monitoringmethoden entsprechen generell dem Patientengut der Station in Art und Schweregrad der Erkrankung.</v>
      </c>
      <c r="AB286" s="361" t="str">
        <f>Kriterien!S202</f>
        <v>Ces méthodes de monitorage doivent correspondre aux besoins et types de patients au sein de l'USI. aux types et besoins des patients au sein de l’Unité.</v>
      </c>
      <c r="AC286" s="364" t="str">
        <f t="shared" si="43"/>
        <v>Die vorhandenen und eingesetzten Monitoringmethoden entsprechen generell dem Patientengut der Station in Art und Schweregrad der Erkrankung.</v>
      </c>
      <c r="AD286" s="673" t="str">
        <f>Kriterien!U202</f>
        <v>Visitation</v>
      </c>
      <c r="AE286" s="622" t="str">
        <f>Kriterien!V202</f>
        <v>Visite</v>
      </c>
      <c r="AF286" s="623" t="str">
        <f t="shared" si="44"/>
        <v>Visitation</v>
      </c>
    </row>
    <row r="287" spans="1:32" s="116" customFormat="1" ht="30" customHeight="1">
      <c r="A287" s="441"/>
      <c r="B287" s="442"/>
      <c r="C287" s="2159"/>
      <c r="D287" s="432"/>
      <c r="E287" s="39">
        <v>6</v>
      </c>
      <c r="F287" s="117" t="str">
        <f t="shared" si="39"/>
        <v>Notwendige Einrichtungen für Therapien</v>
      </c>
      <c r="G287" s="542" t="str">
        <f t="shared" si="42"/>
        <v/>
      </c>
      <c r="H287" s="568" t="str">
        <f>IF('2 Autodeklaration'!F200=0,"",'2 Autodeklaration'!F200)</f>
        <v/>
      </c>
      <c r="I287" s="565"/>
      <c r="J287" s="690"/>
      <c r="K287" s="722" t="str">
        <f t="shared" si="40"/>
        <v>Notwendige Einrichtungen für Therapien</v>
      </c>
      <c r="L287" s="1262" t="str">
        <f>AF100&amp;E287&amp;". 
"&amp;F287</f>
        <v>Abschliessender Kommentar Kapitel 6. 
Notwendige Einrichtungen für Therapien</v>
      </c>
      <c r="M287" s="1284"/>
      <c r="N287" s="1279"/>
      <c r="O287" s="595"/>
      <c r="P287" s="599"/>
      <c r="AA287" s="360" t="str">
        <f>Kriterien!R203</f>
        <v>Notwendige Einrichtungen für Therapien</v>
      </c>
      <c r="AB287" s="361" t="str">
        <f>Kriterien!S203</f>
        <v>Équipements thérapeutiques indispensables</v>
      </c>
      <c r="AC287" s="364" t="str">
        <f t="shared" si="43"/>
        <v>Notwendige Einrichtungen für Therapien</v>
      </c>
      <c r="AD287" s="673">
        <f>Kriterien!U203</f>
        <v>0</v>
      </c>
      <c r="AE287" s="622">
        <f>Kriterien!V203</f>
        <v>0</v>
      </c>
      <c r="AF287" s="623" t="str">
        <f t="shared" si="44"/>
        <v/>
      </c>
    </row>
    <row r="288" spans="1:32" s="116" customFormat="1" ht="339" customHeight="1">
      <c r="A288" s="305">
        <f>'2 Autodeklaration'!A201</f>
        <v>0</v>
      </c>
      <c r="B288" s="306"/>
      <c r="C288" s="299"/>
      <c r="D288" s="433"/>
      <c r="E288" s="581" t="s">
        <v>285</v>
      </c>
      <c r="F288" s="122" t="str">
        <f t="shared" si="39"/>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G288" s="545" t="str">
        <f t="shared" si="42"/>
        <v>Visitation</v>
      </c>
      <c r="H288" s="566" t="str">
        <f>IF('2 Autodeklaration'!F201=0,"",'2 Autodeklaration'!F201)</f>
        <v/>
      </c>
      <c r="I288" s="567"/>
      <c r="J288" s="652"/>
      <c r="K288" s="725" t="str">
        <f t="shared" si="40"/>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L288" s="2281"/>
      <c r="M288" s="1284"/>
      <c r="N288" s="1279"/>
      <c r="O288" s="595"/>
      <c r="P288" s="599"/>
      <c r="AA288" s="360" t="str">
        <f>Kriterien!R204</f>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AB288" s="361" t="str">
        <f>Kriterien!S204</f>
        <v>L’administration de médicaments et de produits sanguins est assurée en tout temps. Les médicaments d’urgence sont disponibles sur place, d’autres médicaments relevant et produits sanguins sont stockés dans l’hôpital et rapidement disponibles. La pratique de la ventilation non-invasive et mécanique et le traitement des complications potentielles de la ventilation sont garantie en tout temps. Les moyens suivants sont disponibles : de l’oxygène, des masque et ballons de ventilation, du matériel d’intubation y.c. des tubes spécifiques, des moyens d’intubation difficile y.c. bronchoscopie. Des ventilateurs de soins intensifs et de transport sont disponibles, ainsi que du matériel pour la trachéotomie d’urgence et le drainage thoracique. Des moyens d’enregistrement d’ECG, de défibrillation et de pacing temporaire sont disponibles. L’USI dispose d’au moins un moyen de monitoring hémodynamique invasif avancé. L’épuration extrarénale peut être pratiquée dans l’USI. L’USI dispose d’un moyen de contrôle de la température corporelle avec possibilité de refroidissement et de réchauffement. Le parc de matériel est conçu de tel sorte que même en cas d’occupation de tous les lits, le matériel doit couvrir les besoins habituels des caractéristiques des patients (selon les données MDSi).</v>
      </c>
      <c r="AC288" s="364" t="str">
        <f t="shared" si="43"/>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AD288" s="673" t="str">
        <f>Kriterien!U204</f>
        <v>Visitation</v>
      </c>
      <c r="AE288" s="622" t="str">
        <f>Kriterien!V204</f>
        <v>Visite</v>
      </c>
      <c r="AF288" s="623" t="str">
        <f t="shared" si="44"/>
        <v>Visitation</v>
      </c>
    </row>
    <row r="289" spans="1:32" s="116" customFormat="1" ht="40" customHeight="1" thickBot="1">
      <c r="A289" s="305">
        <f>'2 Autodeklaration'!A202</f>
        <v>0</v>
      </c>
      <c r="B289" s="306"/>
      <c r="C289" s="299"/>
      <c r="D289" s="433"/>
      <c r="E289" s="581" t="s">
        <v>286</v>
      </c>
      <c r="F289" s="120" t="str">
        <f t="shared" si="39"/>
        <v>Die Anzahl und Art der Therapiegeräte entspricht dem Patientengut in Art und Schweregrad der Erkrankung.</v>
      </c>
      <c r="G289" s="545" t="str">
        <f t="shared" si="42"/>
        <v>Visitation</v>
      </c>
      <c r="H289" s="566" t="str">
        <f>IF('2 Autodeklaration'!F202=0,"",'2 Autodeklaration'!F202)</f>
        <v/>
      </c>
      <c r="I289" s="567"/>
      <c r="J289" s="697"/>
      <c r="K289" s="724" t="str">
        <f t="shared" si="40"/>
        <v>Die Anzahl und Art der Therapiegeräte entspricht dem Patientengut in Art und Schweregrad der Erkrankung.</v>
      </c>
      <c r="L289" s="2248"/>
      <c r="M289" s="1284"/>
      <c r="N289" s="1279"/>
      <c r="O289" s="595"/>
      <c r="P289" s="599"/>
      <c r="AA289" s="360" t="str">
        <f>Kriterien!R205</f>
        <v>Die Anzahl und Art der Therapiegeräte entspricht dem Patientengut in Art und Schweregrad der Erkrankung.</v>
      </c>
      <c r="AB289" s="361" t="str">
        <f>Kriterien!S205</f>
        <v>Le nombre et la nature des appareils thérapeutiques correspondent aux types et niveaux de gravité des pathologies des patients.</v>
      </c>
      <c r="AC289" s="364" t="str">
        <f t="shared" si="43"/>
        <v>Die Anzahl und Art der Therapiegeräte entspricht dem Patientengut in Art und Schweregrad der Erkrankung.</v>
      </c>
      <c r="AD289" s="673" t="str">
        <f>Kriterien!U205</f>
        <v>Visitation</v>
      </c>
      <c r="AE289" s="622" t="str">
        <f>Kriterien!V205</f>
        <v>Visite</v>
      </c>
      <c r="AF289" s="623" t="str">
        <f t="shared" si="44"/>
        <v>Visitation</v>
      </c>
    </row>
    <row r="290" spans="1:32" s="356" customFormat="1" ht="30" customHeight="1">
      <c r="A290" s="441"/>
      <c r="B290" s="442"/>
      <c r="C290" s="2159"/>
      <c r="D290" s="432"/>
      <c r="E290" s="39">
        <v>7</v>
      </c>
      <c r="F290" s="117" t="str">
        <f t="shared" si="39"/>
        <v>Transporte</v>
      </c>
      <c r="G290" s="542" t="str">
        <f t="shared" si="42"/>
        <v/>
      </c>
      <c r="H290" s="564" t="str">
        <f>IF('2 Autodeklaration'!F203=0,"",'2 Autodeklaration'!F203)</f>
        <v/>
      </c>
      <c r="I290" s="565"/>
      <c r="J290" s="690"/>
      <c r="K290" s="722" t="str">
        <f t="shared" si="40"/>
        <v>Transporte</v>
      </c>
      <c r="L290" s="1262" t="str">
        <f>AF100&amp;E290&amp;". 
"&amp;F290</f>
        <v>Abschliessender Kommentar Kapitel 7. 
Transporte</v>
      </c>
      <c r="M290" s="1286"/>
      <c r="N290" s="1287"/>
      <c r="O290" s="1288"/>
      <c r="P290" s="1289"/>
      <c r="AA290" s="357" t="str">
        <f>Kriterien!R206</f>
        <v>Transporte</v>
      </c>
      <c r="AB290" s="358" t="str">
        <f>Kriterien!S206</f>
        <v>Transports</v>
      </c>
      <c r="AC290" s="363" t="str">
        <f t="shared" si="43"/>
        <v>Transporte</v>
      </c>
      <c r="AD290" s="673">
        <f>Kriterien!U206</f>
        <v>0</v>
      </c>
      <c r="AE290" s="622">
        <f>Kriterien!V206</f>
        <v>0</v>
      </c>
      <c r="AF290" s="623" t="str">
        <f t="shared" si="44"/>
        <v/>
      </c>
    </row>
    <row r="291" spans="1:32" s="116" customFormat="1" ht="30" customHeight="1">
      <c r="A291" s="305"/>
      <c r="B291" s="306"/>
      <c r="C291" s="2157"/>
      <c r="D291" s="433"/>
      <c r="E291" s="579">
        <v>7.1</v>
      </c>
      <c r="F291" s="118" t="str">
        <f t="shared" si="39"/>
        <v>Verlegung</v>
      </c>
      <c r="G291" s="548" t="str">
        <f t="shared" si="42"/>
        <v/>
      </c>
      <c r="H291" s="566" t="str">
        <f>IF('2 Autodeklaration'!F204=0,"",'2 Autodeklaration'!F204)</f>
        <v/>
      </c>
      <c r="I291" s="567"/>
      <c r="J291" s="652"/>
      <c r="K291" s="723" t="str">
        <f t="shared" si="40"/>
        <v>Verlegung</v>
      </c>
      <c r="L291" s="2247"/>
      <c r="M291" s="1284"/>
      <c r="N291" s="1279"/>
      <c r="O291" s="595"/>
      <c r="P291" s="599"/>
      <c r="AA291" s="360" t="str">
        <f>Kriterien!R207</f>
        <v>Verlegung</v>
      </c>
      <c r="AB291" s="361" t="str">
        <f>Kriterien!S207</f>
        <v>Transfert</v>
      </c>
      <c r="AC291" s="364" t="str">
        <f t="shared" si="43"/>
        <v>Verlegung</v>
      </c>
      <c r="AD291" s="673">
        <f>Kriterien!U207</f>
        <v>0</v>
      </c>
      <c r="AE291" s="622">
        <f>Kriterien!V207</f>
        <v>0</v>
      </c>
      <c r="AF291" s="623" t="str">
        <f t="shared" si="44"/>
        <v/>
      </c>
    </row>
    <row r="292" spans="1:32" s="116" customFormat="1" ht="98" customHeight="1">
      <c r="A292" s="305">
        <f>'2 Autodeklaration'!A205</f>
        <v>0</v>
      </c>
      <c r="B292" s="306"/>
      <c r="C292" s="299"/>
      <c r="D292" s="433"/>
      <c r="E292" s="581" t="s">
        <v>287</v>
      </c>
      <c r="F292" s="122" t="str">
        <f t="shared" si="39"/>
        <v>Patienten, die auf der IS aus personellen, materiellen oder fachlichen Gründen nicht adäquat versorgt werden können, müssen innert nützlicher Frist und in möglichst stabilisiertem Zustand in entsprechend ausgerüstete Zentren verlegt werden.</v>
      </c>
      <c r="G292" s="545" t="str">
        <f t="shared" si="42"/>
        <v>Visitation</v>
      </c>
      <c r="H292" s="566" t="str">
        <f>IF('2 Autodeklaration'!F205=0,"",'2 Autodeklaration'!F205)</f>
        <v/>
      </c>
      <c r="I292" s="567"/>
      <c r="J292" s="652"/>
      <c r="K292" s="725" t="str">
        <f t="shared" si="40"/>
        <v>Patienten, die auf der IS aus personellen, materiellen oder fachlichen Gründen nicht adäquat versorgt werden können, müssen innert nützlicher Frist und in möglichst stabilisiertem Zustand in entsprechend ausgerüstete Zentren verlegt werden.</v>
      </c>
      <c r="L292" s="2247"/>
      <c r="M292" s="1284"/>
      <c r="N292" s="1279"/>
      <c r="O292" s="595"/>
      <c r="P292" s="599"/>
      <c r="AA292" s="360" t="str">
        <f>Kriterien!R208</f>
        <v>Patienten, die auf der IS aus personellen, materiellen oder fachlichen Gründen nicht adäquat versorgt werden können, müssen innert nützlicher Frist und in möglichst stabilisiertem Zustand in entsprechend ausgerüstete Zentren verlegt werden.</v>
      </c>
      <c r="AB292" s="361" t="str">
        <f>Kriterien!S208</f>
        <v>Les patients qui ne peuvent pas être pris en charge dans l'USI de manière adéquate pour des raisons de personnel, de matériel ou de technique doivent être transférés dans les meilleurs délais vers des centres équipés de manière appropriée, une fois leur état stabilisé au mieux.</v>
      </c>
      <c r="AC292" s="364" t="str">
        <f t="shared" si="43"/>
        <v>Patienten, die auf der IS aus personellen, materiellen oder fachlichen Gründen nicht adäquat versorgt werden können, müssen innert nützlicher Frist und in möglichst stabilisiertem Zustand in entsprechend ausgerüstete Zentren verlegt werden.</v>
      </c>
      <c r="AD292" s="673" t="str">
        <f>Kriterien!U208</f>
        <v>Visitation</v>
      </c>
      <c r="AE292" s="622" t="str">
        <f>Kriterien!V208</f>
        <v>Visite</v>
      </c>
      <c r="AF292" s="623" t="str">
        <f t="shared" si="44"/>
        <v>Visitation</v>
      </c>
    </row>
    <row r="293" spans="1:32" s="116" customFormat="1" ht="30" customHeight="1">
      <c r="A293" s="305"/>
      <c r="B293" s="306"/>
      <c r="C293" s="2157"/>
      <c r="D293" s="433"/>
      <c r="E293" s="579">
        <v>7.2</v>
      </c>
      <c r="F293" s="118" t="str">
        <f t="shared" si="39"/>
        <v>Transportbegleitung</v>
      </c>
      <c r="G293" s="548" t="str">
        <f t="shared" si="42"/>
        <v/>
      </c>
      <c r="H293" s="566" t="str">
        <f>IF('2 Autodeklaration'!F206=0,"",'2 Autodeklaration'!F206)</f>
        <v/>
      </c>
      <c r="I293" s="567"/>
      <c r="J293" s="652"/>
      <c r="K293" s="723" t="str">
        <f t="shared" si="40"/>
        <v>Transportbegleitung</v>
      </c>
      <c r="L293" s="2247"/>
      <c r="M293" s="1284"/>
      <c r="N293" s="1279"/>
      <c r="O293" s="595"/>
      <c r="P293" s="599"/>
      <c r="AA293" s="360" t="str">
        <f>Kriterien!R209</f>
        <v>Transportbegleitung</v>
      </c>
      <c r="AB293" s="361" t="str">
        <f>Kriterien!S209</f>
        <v>Accompagnement lors du transport</v>
      </c>
      <c r="AC293" s="364" t="str">
        <f t="shared" si="43"/>
        <v>Transportbegleitung</v>
      </c>
      <c r="AD293" s="673">
        <f>Kriterien!U209</f>
        <v>0</v>
      </c>
      <c r="AE293" s="622">
        <f>Kriterien!V209</f>
        <v>0</v>
      </c>
      <c r="AF293" s="623" t="str">
        <f t="shared" si="44"/>
        <v/>
      </c>
    </row>
    <row r="294" spans="1:32" s="116" customFormat="1" ht="78" customHeight="1" thickBot="1">
      <c r="A294" s="305">
        <f>'2 Autodeklaration'!A207</f>
        <v>0</v>
      </c>
      <c r="B294" s="306"/>
      <c r="C294" s="299"/>
      <c r="D294" s="433"/>
      <c r="E294" s="581" t="s">
        <v>288</v>
      </c>
      <c r="F294" s="122" t="str">
        <f t="shared" si="39"/>
        <v>Die Transportbegleitung muss durch qualifiziertes Personal mit entsprechender Ausbildung und Ausrüstung erfolgen, sodass jede Störung der Vitalfunktionen rechtzeitig erkannt und behandelt werden kann.</v>
      </c>
      <c r="G294" s="545" t="str">
        <f t="shared" si="42"/>
        <v>Visitation</v>
      </c>
      <c r="H294" s="566" t="str">
        <f>IF('2 Autodeklaration'!F207=0,"",'2 Autodeklaration'!F207)</f>
        <v/>
      </c>
      <c r="I294" s="567"/>
      <c r="J294" s="652"/>
      <c r="K294" s="725" t="str">
        <f t="shared" si="40"/>
        <v>Die Transportbegleitung muss durch qualifiziertes Personal mit entsprechender Ausbildung und Ausrüstung erfolgen, sodass jede Störung der Vitalfunktionen rechtzeitig erkannt und behandelt werden kann.</v>
      </c>
      <c r="L294" s="2248"/>
      <c r="M294" s="1284"/>
      <c r="N294" s="1279"/>
      <c r="O294" s="595"/>
      <c r="P294" s="599"/>
      <c r="AA294" s="360" t="str">
        <f>Kriterien!R210</f>
        <v>Die Transportbegleitung muss durch qualifiziertes Personal mit entsprechender Ausbildung und Ausrüstung erfolgen, sodass jede Störung der Vitalfunktionen rechtzeitig erkannt und behandelt werden kann.</v>
      </c>
      <c r="AB294" s="361" t="str">
        <f>Kriterien!S210</f>
        <v>Le patient doit être accompagné par un personnel qualifié et disposant d’une formation et de l’équipement adaptés, de façon à permettre la détection et le traitement de toute défaillance des fonctions dans les meilleurs délais.</v>
      </c>
      <c r="AC294" s="364" t="str">
        <f t="shared" si="43"/>
        <v>Die Transportbegleitung muss durch qualifiziertes Personal mit entsprechender Ausbildung und Ausrüstung erfolgen, sodass jede Störung der Vitalfunktionen rechtzeitig erkannt und behandelt werden kann.</v>
      </c>
      <c r="AD294" s="673" t="str">
        <f>Kriterien!U210</f>
        <v>Visitation</v>
      </c>
      <c r="AE294" s="622" t="str">
        <f>Kriterien!V210</f>
        <v>Visite</v>
      </c>
      <c r="AF294" s="623" t="str">
        <f t="shared" si="44"/>
        <v>Visitation</v>
      </c>
    </row>
    <row r="295" spans="1:32" s="356" customFormat="1" ht="30" customHeight="1">
      <c r="A295" s="441"/>
      <c r="B295" s="442"/>
      <c r="C295" s="2159"/>
      <c r="D295" s="432"/>
      <c r="E295" s="39">
        <v>8</v>
      </c>
      <c r="F295" s="117" t="str">
        <f t="shared" si="39"/>
        <v>Lehre und Forschung</v>
      </c>
      <c r="G295" s="542" t="str">
        <f t="shared" si="42"/>
        <v/>
      </c>
      <c r="H295" s="564" t="str">
        <f>IF('2 Autodeklaration'!F208=0,"",'2 Autodeklaration'!F208)</f>
        <v/>
      </c>
      <c r="I295" s="565"/>
      <c r="J295" s="698"/>
      <c r="K295" s="722" t="str">
        <f t="shared" si="40"/>
        <v>Lehre und Forschung</v>
      </c>
      <c r="L295" s="1268"/>
      <c r="M295" s="1286"/>
      <c r="N295" s="1287"/>
      <c r="O295" s="1288"/>
      <c r="P295" s="1289"/>
      <c r="AA295" s="357" t="str">
        <f>Kriterien!R211</f>
        <v>Lehre und Forschung</v>
      </c>
      <c r="AB295" s="358" t="str">
        <f>Kriterien!S211</f>
        <v>Enseignement et recherche</v>
      </c>
      <c r="AC295" s="363" t="str">
        <f t="shared" si="43"/>
        <v>Lehre und Forschung</v>
      </c>
      <c r="AD295" s="673">
        <f>Kriterien!U211</f>
        <v>0</v>
      </c>
      <c r="AE295" s="622">
        <f>Kriterien!V211</f>
        <v>0</v>
      </c>
      <c r="AF295" s="623" t="str">
        <f t="shared" si="44"/>
        <v/>
      </c>
    </row>
    <row r="296" spans="1:32" s="116" customFormat="1" ht="30" customHeight="1">
      <c r="A296" s="305"/>
      <c r="B296" s="306"/>
      <c r="C296" s="2157"/>
      <c r="D296" s="433"/>
      <c r="E296" s="579">
        <v>8.1</v>
      </c>
      <c r="F296" s="118" t="str">
        <f t="shared" si="39"/>
        <v>Fortbildung Pflege</v>
      </c>
      <c r="G296" s="548" t="str">
        <f t="shared" si="42"/>
        <v/>
      </c>
      <c r="H296" s="566" t="str">
        <f>IF('2 Autodeklaration'!F209=0,"",'2 Autodeklaration'!F209)</f>
        <v/>
      </c>
      <c r="I296" s="567"/>
      <c r="J296" s="688"/>
      <c r="K296" s="723" t="str">
        <f t="shared" si="40"/>
        <v>Fortbildung Pflege</v>
      </c>
      <c r="L296" s="1256"/>
      <c r="M296" s="1284"/>
      <c r="N296" s="1279"/>
      <c r="O296" s="595"/>
      <c r="P296" s="599"/>
      <c r="AA296" s="360" t="str">
        <f>Kriterien!R212</f>
        <v>Fortbildung Pflege</v>
      </c>
      <c r="AB296" s="361" t="str">
        <f>Kriterien!S212</f>
        <v>Formation continue du personnel soignant</v>
      </c>
      <c r="AC296" s="364" t="str">
        <f t="shared" si="43"/>
        <v>Fortbildung Pflege</v>
      </c>
      <c r="AD296" s="673">
        <f>Kriterien!U212</f>
        <v>0</v>
      </c>
      <c r="AE296" s="622">
        <f>Kriterien!V212</f>
        <v>0</v>
      </c>
      <c r="AF296" s="623" t="str">
        <f t="shared" si="44"/>
        <v/>
      </c>
    </row>
    <row r="297" spans="1:32" s="116" customFormat="1" ht="111.75" customHeight="1">
      <c r="A297" s="305">
        <f>'2 Autodeklaration'!A210</f>
        <v>0</v>
      </c>
      <c r="B297" s="306"/>
      <c r="C297" s="299"/>
      <c r="D297" s="433"/>
      <c r="E297" s="581" t="s">
        <v>289</v>
      </c>
      <c r="F297" s="122" t="str">
        <f t="shared" si="39"/>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G297" s="545" t="str">
        <f t="shared" si="42"/>
        <v>Visitation, Dokument</v>
      </c>
      <c r="H297" s="566" t="str">
        <f>IF('2 Autodeklaration'!F210=0,"",'2 Autodeklaration'!F210)</f>
        <v/>
      </c>
      <c r="I297" s="567"/>
      <c r="J297" s="688"/>
      <c r="K297" s="725" t="str">
        <f t="shared" si="40"/>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L297" s="1256"/>
      <c r="M297" s="1284"/>
      <c r="N297" s="1279"/>
      <c r="O297" s="595"/>
      <c r="P297" s="599"/>
      <c r="AA297" s="360" t="str">
        <f>Kriterien!R213</f>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AB297" s="361" t="str">
        <f>Kriterien!S213</f>
        <v>Le personnel soignant doit régulièrement se former dans les domaines relevant des soins infirmiers, de la médecine intensive et de la technique. Le responsable du personnel soignant de l’USI tient une liste des colloques internes de formation continue dont a bénéficié le personnel soignant de l'USI. Une documentation de la participation du personnel soignant à des sessions de formation continue, tant internes qu’externes, doit être assurée.</v>
      </c>
      <c r="AC297" s="364" t="str">
        <f t="shared" si="43"/>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AD297" s="673" t="str">
        <f>Kriterien!U213</f>
        <v>Visitation, Dokument</v>
      </c>
      <c r="AE297" s="622" t="str">
        <f>Kriterien!V213</f>
        <v>Visite, document</v>
      </c>
      <c r="AF297" s="623" t="str">
        <f t="shared" si="44"/>
        <v>Visitation, Dokument</v>
      </c>
    </row>
    <row r="298" spans="1:32" s="116" customFormat="1" ht="30" customHeight="1">
      <c r="A298" s="305"/>
      <c r="B298" s="306"/>
      <c r="C298" s="2157"/>
      <c r="D298" s="433"/>
      <c r="E298" s="579">
        <v>8.1999999999999993</v>
      </c>
      <c r="F298" s="118" t="str">
        <f t="shared" si="39"/>
        <v>Fortbildung Ärzte</v>
      </c>
      <c r="G298" s="548" t="str">
        <f t="shared" si="42"/>
        <v/>
      </c>
      <c r="H298" s="566" t="str">
        <f>IF('2 Autodeklaration'!F211=0,"",'2 Autodeklaration'!F211)</f>
        <v/>
      </c>
      <c r="I298" s="567"/>
      <c r="J298" s="688"/>
      <c r="K298" s="723" t="str">
        <f t="shared" si="40"/>
        <v>Fortbildung Ärzte</v>
      </c>
      <c r="L298" s="1256"/>
      <c r="M298" s="1284"/>
      <c r="N298" s="1279"/>
      <c r="O298" s="595"/>
      <c r="P298" s="599"/>
      <c r="AA298" s="360" t="str">
        <f>Kriterien!R214</f>
        <v>Fortbildung Ärzte</v>
      </c>
      <c r="AB298" s="361" t="str">
        <f>Kriterien!S214</f>
        <v>Formation continue des médecins</v>
      </c>
      <c r="AC298" s="364" t="str">
        <f t="shared" si="43"/>
        <v>Fortbildung Ärzte</v>
      </c>
      <c r="AD298" s="673">
        <f>Kriterien!U214</f>
        <v>0</v>
      </c>
      <c r="AE298" s="622">
        <f>Kriterien!V214</f>
        <v>0</v>
      </c>
      <c r="AF298" s="623" t="str">
        <f t="shared" si="44"/>
        <v/>
      </c>
    </row>
    <row r="299" spans="1:32" s="116" customFormat="1" ht="75.75" customHeight="1" thickBot="1">
      <c r="A299" s="305">
        <f>'2 Autodeklaration'!A212</f>
        <v>0</v>
      </c>
      <c r="B299" s="306"/>
      <c r="C299" s="299"/>
      <c r="D299" s="433"/>
      <c r="E299" s="581" t="s">
        <v>290</v>
      </c>
      <c r="F299" s="122" t="str">
        <f t="shared" si="39"/>
        <v>Die Fortbildung der Ärzte mit FMH Intensivmedizin ist im Fortbildungsprogramm der SGI geregelt. Anerkannte Intensivstationen müssen ihrer Ärzteschaft diese Fortbildungsaktivitäten ermöglichen.</v>
      </c>
      <c r="G299" s="545" t="str">
        <f t="shared" si="42"/>
        <v>Visitation</v>
      </c>
      <c r="H299" s="566" t="str">
        <f>IF('2 Autodeklaration'!F212=0,"",'2 Autodeklaration'!F212)</f>
        <v/>
      </c>
      <c r="I299" s="567"/>
      <c r="J299" s="689"/>
      <c r="K299" s="725" t="str">
        <f t="shared" si="40"/>
        <v>Die Fortbildung der Ärzte mit FMH Intensivmedizin ist im Fortbildungsprogramm der SGI geregelt. Anerkannte Intensivstationen müssen ihrer Ärzteschaft diese Fortbildungsaktivitäten ermöglichen.</v>
      </c>
      <c r="L299" s="1260"/>
      <c r="M299" s="1284"/>
      <c r="N299" s="1279"/>
      <c r="O299" s="595"/>
      <c r="P299" s="599"/>
      <c r="AA299" s="360" t="str">
        <f>Kriterien!R215</f>
        <v>Die Fortbildung der Ärzte mit FMH Intensivmedizin ist im Fortbildungsprogramm der SGI geregelt. Anerkannte Intensivstationen müssen ihrer Ärzteschaft diese Fortbildungsaktivitäten ermöglichen.</v>
      </c>
      <c r="AB299" s="361" t="str">
        <f>Kriterien!S215</f>
        <v>La formation continue des médecins spécialistes FMH en médecine intensive est inscrite dans le programme de formation continue de la SSMI. Les unités de soins intensifs reconnues doivent permettre à leurs médecins de participer à ces activités de formation continue.</v>
      </c>
      <c r="AC299" s="364" t="str">
        <f t="shared" si="43"/>
        <v>Die Fortbildung der Ärzte mit FMH Intensivmedizin ist im Fortbildungsprogramm der SGI geregelt. Anerkannte Intensivstationen müssen ihrer Ärzteschaft diese Fortbildungsaktivitäten ermöglichen.</v>
      </c>
      <c r="AD299" s="673" t="str">
        <f>Kriterien!U215</f>
        <v>Visitation</v>
      </c>
      <c r="AE299" s="622" t="str">
        <f>Kriterien!V215</f>
        <v>Visite</v>
      </c>
      <c r="AF299" s="623" t="str">
        <f t="shared" si="44"/>
        <v>Visitation</v>
      </c>
    </row>
    <row r="300" spans="1:32" s="116" customFormat="1" ht="30" customHeight="1">
      <c r="A300" s="305"/>
      <c r="B300" s="306"/>
      <c r="C300" s="2157"/>
      <c r="D300" s="433"/>
      <c r="E300" s="579">
        <v>8.3000000000000007</v>
      </c>
      <c r="F300" s="118" t="str">
        <f t="shared" ref="F300:F310" si="45">AC300</f>
        <v>Andere ärztliche Weiterbildungsprogramme</v>
      </c>
      <c r="G300" s="548" t="str">
        <f t="shared" si="42"/>
        <v/>
      </c>
      <c r="H300" s="566" t="str">
        <f>IF('2 Autodeklaration'!F213=0,"",'2 Autodeklaration'!F213)</f>
        <v/>
      </c>
      <c r="I300" s="1290"/>
      <c r="J300" s="690"/>
      <c r="K300" s="723" t="str">
        <f t="shared" si="40"/>
        <v>Andere ärztliche Weiterbildungsprogramme</v>
      </c>
      <c r="L300" s="1262" t="str">
        <f>AF100&amp;E295&amp;". 
"&amp;F295</f>
        <v>Abschliessender Kommentar Kapitel 8. 
Lehre und Forschung</v>
      </c>
      <c r="M300" s="1284"/>
      <c r="N300" s="1279"/>
      <c r="O300" s="595"/>
      <c r="P300" s="599"/>
      <c r="AA300" s="360" t="str">
        <f>Kriterien!R216</f>
        <v>Andere ärztliche Weiterbildungsprogramme</v>
      </c>
      <c r="AB300" s="361" t="str">
        <f>Kriterien!S216</f>
        <v>Autres programmes médicaux de formations postgraduées</v>
      </c>
      <c r="AC300" s="364" t="str">
        <f t="shared" si="43"/>
        <v>Andere ärztliche Weiterbildungsprogramme</v>
      </c>
      <c r="AD300" s="673">
        <f>Kriterien!U216</f>
        <v>0</v>
      </c>
      <c r="AE300" s="622">
        <f>Kriterien!V216</f>
        <v>0</v>
      </c>
      <c r="AF300" s="623" t="str">
        <f t="shared" si="44"/>
        <v/>
      </c>
    </row>
    <row r="301" spans="1:32" s="116" customFormat="1" ht="113.25" customHeight="1">
      <c r="A301" s="305">
        <f>'2 Autodeklaration'!A214</f>
        <v>0</v>
      </c>
      <c r="B301" s="306"/>
      <c r="C301" s="299"/>
      <c r="D301" s="433"/>
      <c r="E301" s="581" t="s">
        <v>291</v>
      </c>
      <c r="F301" s="122" t="str">
        <f t="shared" si="45"/>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G301" s="545" t="str">
        <f t="shared" si="42"/>
        <v>Visitation, Dokument</v>
      </c>
      <c r="H301" s="566" t="str">
        <f>IF('2 Autodeklaration'!F214=0,"",'2 Autodeklaration'!F214)</f>
        <v/>
      </c>
      <c r="I301" s="567"/>
      <c r="J301" s="652"/>
      <c r="K301" s="725" t="str">
        <f t="shared" ref="K301:K310" si="46">F301</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L301" s="2245"/>
      <c r="M301" s="1284"/>
      <c r="N301" s="1279"/>
      <c r="O301" s="595"/>
      <c r="P301" s="599"/>
      <c r="AA301" s="360" t="str">
        <f>Kriterien!R217</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AB301" s="361" t="str">
        <f>Kriterien!S217</f>
        <v>Les médecins-assistants qui ne sont pas en formation postgraduée pour le titre de spécialiste en médecine intensive (assistants en rotation) ou les assistants qui travaillent dans une USI non reconnue pour la formation postgraduée de spécialiste en médecine intensive ont besoin, outre d'un programme valable de formation postgraduée, d'une introduction adéquate et d'une formation postgraduée spécialisée en médecine intensive.</v>
      </c>
      <c r="AC301" s="364" t="str">
        <f t="shared" si="43"/>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AD301" s="673" t="str">
        <f>Kriterien!U217</f>
        <v>Visitation, Dokument</v>
      </c>
      <c r="AE301" s="622" t="str">
        <f>Kriterien!V217</f>
        <v>Visite, document</v>
      </c>
      <c r="AF301" s="623" t="str">
        <f t="shared" si="44"/>
        <v>Visitation, Dokument</v>
      </c>
    </row>
    <row r="302" spans="1:32" s="116" customFormat="1" ht="30" customHeight="1">
      <c r="A302" s="305"/>
      <c r="B302" s="306"/>
      <c r="C302" s="2157"/>
      <c r="D302" s="433"/>
      <c r="E302" s="579">
        <v>8.4</v>
      </c>
      <c r="F302" s="118" t="str">
        <f t="shared" si="45"/>
        <v>Forschung</v>
      </c>
      <c r="G302" s="548" t="str">
        <f t="shared" si="42"/>
        <v/>
      </c>
      <c r="H302" s="566" t="str">
        <f>IF('2 Autodeklaration'!F215=0,"",'2 Autodeklaration'!F215)</f>
        <v/>
      </c>
      <c r="I302" s="567"/>
      <c r="J302" s="652"/>
      <c r="K302" s="723" t="str">
        <f t="shared" si="46"/>
        <v>Forschung</v>
      </c>
      <c r="L302" s="2245"/>
      <c r="M302" s="1284"/>
      <c r="N302" s="1279"/>
      <c r="O302" s="595"/>
      <c r="P302" s="599"/>
      <c r="AA302" s="360" t="str">
        <f>Kriterien!R218</f>
        <v>Forschung</v>
      </c>
      <c r="AB302" s="361" t="str">
        <f>Kriterien!S218</f>
        <v>Recherche</v>
      </c>
      <c r="AC302" s="364" t="str">
        <f t="shared" si="43"/>
        <v>Forschung</v>
      </c>
      <c r="AD302" s="673">
        <f>Kriterien!U218</f>
        <v>0</v>
      </c>
      <c r="AE302" s="622">
        <f>Kriterien!V218</f>
        <v>0</v>
      </c>
      <c r="AF302" s="623" t="str">
        <f t="shared" si="44"/>
        <v/>
      </c>
    </row>
    <row r="303" spans="1:32" s="116" customFormat="1" ht="106" thickBot="1">
      <c r="A303" s="305"/>
      <c r="B303" s="306">
        <f>'2 Autodeklaration'!B216</f>
        <v>0</v>
      </c>
      <c r="C303" s="2157"/>
      <c r="D303" s="300"/>
      <c r="E303" s="581" t="s">
        <v>292</v>
      </c>
      <c r="F303" s="122" t="str">
        <f t="shared" si="45"/>
        <v>Die IS beteiligen sich angemessen an Forschungsvorhaben. Insbesondere nehmen sie auch im Rahmen ihrer Möglichkeiten an Forschungsprojekten teil, welche durch die SGI unterstützt werden.</v>
      </c>
      <c r="G303" s="545" t="str">
        <f t="shared" si="42"/>
        <v>Visitation</v>
      </c>
      <c r="H303" s="566" t="str">
        <f>IF('2 Autodeklaration'!F216=0,"",'2 Autodeklaration'!F216)</f>
        <v/>
      </c>
      <c r="I303" s="567"/>
      <c r="J303" s="652"/>
      <c r="K303" s="725" t="str">
        <f t="shared" si="46"/>
        <v>Die IS beteiligen sich angemessen an Forschungsvorhaben. Insbesondere nehmen sie auch im Rahmen ihrer Möglichkeiten an Forschungsprojekten teil, welche durch die SGI unterstützt werden.</v>
      </c>
      <c r="L303" s="2246"/>
      <c r="M303" s="1284"/>
      <c r="N303" s="1279"/>
      <c r="O303" s="595"/>
      <c r="P303" s="599"/>
      <c r="AA303" s="360" t="str">
        <f>Kriterien!R219</f>
        <v>Die IS beteiligen sich angemessen an Forschungsvorhaben. Insbesondere nehmen sie auch im Rahmen ihrer Möglichkeiten an Forschungsprojekten teil, welche durch die SGI unterstützt werden.</v>
      </c>
      <c r="AB303" s="361" t="str">
        <f>Kriterien!S219</f>
        <v>Les USI participent de manière appropriée à des projets de recherche. Dans la mesure de leurs possibilités, elles sont notamment impliquées dans des projets de recherche soutenus par la SSMI.</v>
      </c>
      <c r="AC303" s="364" t="str">
        <f t="shared" si="43"/>
        <v>Die IS beteiligen sich angemessen an Forschungsvorhaben. Insbesondere nehmen sie auch im Rahmen ihrer Möglichkeiten an Forschungsprojekten teil, welche durch die SGI unterstützt werden.</v>
      </c>
      <c r="AD303" s="673" t="str">
        <f>Kriterien!U219</f>
        <v>Visitation</v>
      </c>
      <c r="AE303" s="622" t="str">
        <f>Kriterien!V219</f>
        <v>Visite</v>
      </c>
      <c r="AF303" s="623" t="str">
        <f t="shared" si="44"/>
        <v>Visitation</v>
      </c>
    </row>
    <row r="304" spans="1:32" s="116" customFormat="1" ht="30" customHeight="1" thickBot="1">
      <c r="A304" s="441"/>
      <c r="B304" s="442"/>
      <c r="C304" s="2159"/>
      <c r="D304" s="432"/>
      <c r="E304" s="39">
        <v>9</v>
      </c>
      <c r="F304" s="133" t="str">
        <f t="shared" si="45"/>
        <v>Weitere Vorgaben</v>
      </c>
      <c r="G304" s="554" t="str">
        <f t="shared" si="42"/>
        <v/>
      </c>
      <c r="H304" s="568" t="str">
        <f>IF('2 Autodeklaration'!F217=0,"",'2 Autodeklaration'!F217)</f>
        <v/>
      </c>
      <c r="I304" s="565"/>
      <c r="J304" s="691"/>
      <c r="K304" s="740" t="str">
        <f t="shared" si="46"/>
        <v>Weitere Vorgaben</v>
      </c>
      <c r="L304" s="1259"/>
      <c r="M304" s="1284"/>
      <c r="N304" s="1279"/>
      <c r="O304" s="595"/>
      <c r="P304" s="599"/>
      <c r="AA304" s="360" t="str">
        <f>Kriterien!R220</f>
        <v>Weitere Vorgaben</v>
      </c>
      <c r="AB304" s="361" t="str">
        <f>Kriterien!S220</f>
        <v>Autres dispositions</v>
      </c>
      <c r="AC304" s="364" t="str">
        <f t="shared" si="43"/>
        <v>Weitere Vorgaben</v>
      </c>
      <c r="AD304" s="673">
        <f>Kriterien!U220</f>
        <v>0</v>
      </c>
      <c r="AE304" s="622">
        <f>Kriterien!V220</f>
        <v>0</v>
      </c>
      <c r="AF304" s="623" t="str">
        <f t="shared" si="44"/>
        <v/>
      </c>
    </row>
    <row r="305" spans="1:32" s="116" customFormat="1" ht="30" customHeight="1">
      <c r="A305" s="305"/>
      <c r="B305" s="306"/>
      <c r="C305" s="2157"/>
      <c r="D305" s="433"/>
      <c r="E305" s="580">
        <v>9.1</v>
      </c>
      <c r="F305" s="129" t="str">
        <f t="shared" si="45"/>
        <v>Gesetzliche Grundlagen</v>
      </c>
      <c r="G305" s="545" t="str">
        <f t="shared" si="42"/>
        <v/>
      </c>
      <c r="H305" s="566" t="str">
        <f>IF('2 Autodeklaration'!F218=0,"",'2 Autodeklaration'!F218)</f>
        <v/>
      </c>
      <c r="I305" s="567"/>
      <c r="J305" s="689"/>
      <c r="K305" s="736" t="str">
        <f t="shared" si="46"/>
        <v>Gesetzliche Grundlagen</v>
      </c>
      <c r="L305" s="1269" t="str">
        <f>AF100&amp;E304&amp;". 
"&amp;F304</f>
        <v>Abschliessender Kommentar Kapitel 9. 
Weitere Vorgaben</v>
      </c>
      <c r="M305" s="1284"/>
      <c r="N305" s="1279"/>
      <c r="O305" s="595"/>
      <c r="P305" s="599"/>
      <c r="AA305" s="360" t="str">
        <f>Kriterien!R221</f>
        <v>Gesetzliche Grundlagen</v>
      </c>
      <c r="AB305" s="361" t="str">
        <f>Kriterien!S221</f>
        <v>Bases légales</v>
      </c>
      <c r="AC305" s="364" t="str">
        <f t="shared" si="43"/>
        <v>Gesetzliche Grundlagen</v>
      </c>
      <c r="AD305" s="673">
        <f>Kriterien!U221</f>
        <v>0</v>
      </c>
      <c r="AE305" s="622">
        <f>Kriterien!V221</f>
        <v>0</v>
      </c>
      <c r="AF305" s="623" t="str">
        <f t="shared" si="44"/>
        <v/>
      </c>
    </row>
    <row r="306" spans="1:32" s="116" customFormat="1" ht="40" customHeight="1">
      <c r="A306" s="305"/>
      <c r="B306" s="306">
        <f>'2 Autodeklaration'!B219</f>
        <v>0</v>
      </c>
      <c r="C306" s="2157"/>
      <c r="D306" s="300"/>
      <c r="E306" s="580" t="s">
        <v>293</v>
      </c>
      <c r="F306" s="126" t="str">
        <f t="shared" si="45"/>
        <v xml:space="preserve">Die Station muss Methoden der Qualitätssicherung demonstrieren können (z.B. ein Critical Incident Reporting System [CIRS]). </v>
      </c>
      <c r="G306" s="546" t="str">
        <f t="shared" si="42"/>
        <v>Visitation</v>
      </c>
      <c r="H306" s="566" t="str">
        <f>IF('2 Autodeklaration'!F219=0,"",'2 Autodeklaration'!F219)</f>
        <v/>
      </c>
      <c r="I306" s="567"/>
      <c r="J306" s="690"/>
      <c r="K306" s="733" t="str">
        <f t="shared" si="46"/>
        <v xml:space="preserve">Die Station muss Methoden der Qualitätssicherung demonstrieren können (z.B. ein Critical Incident Reporting System [CIRS]). </v>
      </c>
      <c r="L306" s="2295"/>
      <c r="M306" s="1284"/>
      <c r="N306" s="1279"/>
      <c r="O306" s="595"/>
      <c r="P306" s="599"/>
      <c r="AA306" s="360" t="str">
        <f>Kriterien!R222</f>
        <v xml:space="preserve">Die Station muss Methoden der Qualitätssicherung demonstrieren können (z.B. ein Critical Incident Reporting System [CIRS]). </v>
      </c>
      <c r="AB306" s="361" t="str">
        <f>Kriterien!S222</f>
        <v xml:space="preserve">L'Unité doit pouvoir prouver l'application de méthodes d'assurance de la qualité (p.ex. un Critical Incident Reporting System [CIRS]). </v>
      </c>
      <c r="AC306" s="364" t="str">
        <f t="shared" si="43"/>
        <v xml:space="preserve">Die Station muss Methoden der Qualitätssicherung demonstrieren können (z.B. ein Critical Incident Reporting System [CIRS]). </v>
      </c>
      <c r="AD306" s="673" t="str">
        <f>Kriterien!U222</f>
        <v>Visitation</v>
      </c>
      <c r="AE306" s="622" t="str">
        <f>Kriterien!V222</f>
        <v>Visite</v>
      </c>
      <c r="AF306" s="623" t="str">
        <f t="shared" si="44"/>
        <v>Visitation</v>
      </c>
    </row>
    <row r="307" spans="1:32" s="116" customFormat="1" ht="30" customHeight="1">
      <c r="A307" s="305"/>
      <c r="B307" s="306"/>
      <c r="C307" s="2157"/>
      <c r="D307" s="433"/>
      <c r="E307" s="580">
        <v>9.1999999999999993</v>
      </c>
      <c r="F307" s="129" t="str">
        <f t="shared" si="45"/>
        <v>Richtlinien und Evidence Based Medicine</v>
      </c>
      <c r="G307" s="546" t="str">
        <f t="shared" si="42"/>
        <v/>
      </c>
      <c r="H307" s="566" t="str">
        <f>IF('2 Autodeklaration'!F220=0,"",'2 Autodeklaration'!F220)</f>
        <v/>
      </c>
      <c r="I307" s="567"/>
      <c r="J307" s="652"/>
      <c r="K307" s="736" t="str">
        <f t="shared" si="46"/>
        <v>Richtlinien und Evidence Based Medicine</v>
      </c>
      <c r="L307" s="2296"/>
      <c r="M307" s="1284"/>
      <c r="N307" s="1279"/>
      <c r="O307" s="595"/>
      <c r="P307" s="599"/>
      <c r="AA307" s="360" t="str">
        <f>Kriterien!R223</f>
        <v>Richtlinien und Evidence Based Medicine</v>
      </c>
      <c r="AB307" s="361" t="str">
        <f>Kriterien!S223</f>
        <v>Directives et médecine reposant sur les preuves</v>
      </c>
      <c r="AC307" s="364" t="str">
        <f t="shared" si="43"/>
        <v>Richtlinien und Evidence Based Medicine</v>
      </c>
      <c r="AD307" s="673">
        <f>Kriterien!U223</f>
        <v>0</v>
      </c>
      <c r="AE307" s="622">
        <f>Kriterien!V223</f>
        <v>0</v>
      </c>
      <c r="AF307" s="623" t="str">
        <f t="shared" si="44"/>
        <v/>
      </c>
    </row>
    <row r="308" spans="1:32" s="116" customFormat="1" ht="55" customHeight="1">
      <c r="A308" s="305"/>
      <c r="B308" s="306">
        <f>'2 Autodeklaration'!B221</f>
        <v>0</v>
      </c>
      <c r="C308" s="2157"/>
      <c r="D308" s="300"/>
      <c r="E308" s="580" t="s">
        <v>294</v>
      </c>
      <c r="F308" s="126" t="str">
        <f t="shared" si="45"/>
        <v>Die IS beachtet die Prinzipien einer evidenzbasierten Medizin in ihren Behandlungskonzepten und anerkannte Richtlinien (z.B. der SGI oder SAMW). Es werden regelmässig Fallbesprechungen durchgeführt.</v>
      </c>
      <c r="G308" s="546" t="str">
        <f t="shared" si="42"/>
        <v>Visitation</v>
      </c>
      <c r="H308" s="566" t="str">
        <f>IF('2 Autodeklaration'!F221=0,"",'2 Autodeklaration'!F221)</f>
        <v/>
      </c>
      <c r="I308" s="567"/>
      <c r="J308" s="652"/>
      <c r="K308" s="733" t="str">
        <f t="shared" si="46"/>
        <v>Die IS beachtet die Prinzipien einer evidenzbasierten Medizin in ihren Behandlungskonzepten und anerkannte Richtlinien (z.B. der SGI oder SAMW). Es werden regelmässig Fallbesprechungen durchgeführt.</v>
      </c>
      <c r="L308" s="2296"/>
      <c r="M308" s="1284"/>
      <c r="N308" s="1279"/>
      <c r="O308" s="595"/>
      <c r="P308" s="599"/>
      <c r="AA308" s="360" t="str">
        <f>Kriterien!R224</f>
        <v>Die IS beachtet die Prinzipien einer evidenzbasierten Medizin in ihren Behandlungskonzepten und anerkannte Richtlinien (z.B. der SGI oder SAMW). Es werden regelmässig Fallbesprechungen durchgeführt.</v>
      </c>
      <c r="AB308" s="361" t="str">
        <f>Kriterien!S224</f>
        <v>L'USI respecte les principes de la médecine basée sur des preuves. Ses concepts thérapeutiques correspondent aux recommendation en vigeur (p.ex. de la SSMI ou de l'ASSM).</v>
      </c>
      <c r="AC308" s="364" t="str">
        <f t="shared" si="43"/>
        <v>Die IS beachtet die Prinzipien einer evidenzbasierten Medizin in ihren Behandlungskonzepten und anerkannte Richtlinien (z.B. der SGI oder SAMW). Es werden regelmässig Fallbesprechungen durchgeführt.</v>
      </c>
      <c r="AD308" s="673" t="str">
        <f>Kriterien!U224</f>
        <v>Visitation</v>
      </c>
      <c r="AE308" s="622" t="str">
        <f>Kriterien!V224</f>
        <v>Visite</v>
      </c>
      <c r="AF308" s="623" t="str">
        <f t="shared" si="44"/>
        <v>Visitation</v>
      </c>
    </row>
    <row r="309" spans="1:32" s="116" customFormat="1" ht="30" customHeight="1">
      <c r="A309" s="305"/>
      <c r="B309" s="306"/>
      <c r="C309" s="2157"/>
      <c r="D309" s="433"/>
      <c r="E309" s="580">
        <v>9.3000000000000007</v>
      </c>
      <c r="F309" s="129" t="str">
        <f t="shared" si="45"/>
        <v xml:space="preserve">Ethik </v>
      </c>
      <c r="G309" s="546" t="str">
        <f t="shared" si="42"/>
        <v/>
      </c>
      <c r="H309" s="566" t="str">
        <f>IF('2 Autodeklaration'!F222=0,"",'2 Autodeklaration'!F222)</f>
        <v/>
      </c>
      <c r="I309" s="567"/>
      <c r="J309" s="652"/>
      <c r="K309" s="736" t="str">
        <f t="shared" si="46"/>
        <v xml:space="preserve">Ethik </v>
      </c>
      <c r="L309" s="2296"/>
      <c r="M309" s="1284"/>
      <c r="N309" s="1279"/>
      <c r="O309" s="595"/>
      <c r="P309" s="599"/>
      <c r="AA309" s="360" t="str">
        <f>Kriterien!R225</f>
        <v xml:space="preserve">Ethik </v>
      </c>
      <c r="AB309" s="361" t="str">
        <f>Kriterien!S225</f>
        <v>Éthique</v>
      </c>
      <c r="AC309" s="364" t="str">
        <f t="shared" si="43"/>
        <v xml:space="preserve">Ethik </v>
      </c>
      <c r="AD309" s="673">
        <f>Kriterien!U225</f>
        <v>0</v>
      </c>
      <c r="AE309" s="622">
        <f>Kriterien!V225</f>
        <v>0</v>
      </c>
      <c r="AF309" s="623" t="str">
        <f t="shared" si="44"/>
        <v/>
      </c>
    </row>
    <row r="310" spans="1:32" s="116" customFormat="1" ht="30" customHeight="1" thickBot="1">
      <c r="A310" s="305"/>
      <c r="B310" s="306">
        <f>'2 Autodeklaration'!B223</f>
        <v>0</v>
      </c>
      <c r="C310" s="2157"/>
      <c r="D310" s="300"/>
      <c r="E310" s="581" t="s">
        <v>295</v>
      </c>
      <c r="F310" s="126" t="str">
        <f t="shared" si="45"/>
        <v>Die IS verfügt über ein Konzept über ethische Entscheidungsfindung.</v>
      </c>
      <c r="G310" s="546" t="str">
        <f t="shared" si="42"/>
        <v>Visitation, Dokument</v>
      </c>
      <c r="H310" s="566" t="str">
        <f>IF('2 Autodeklaration'!F223=0,"",'2 Autodeklaration'!F223)</f>
        <v/>
      </c>
      <c r="I310" s="567"/>
      <c r="J310" s="652"/>
      <c r="K310" s="733" t="str">
        <f t="shared" si="46"/>
        <v>Die IS verfügt über ein Konzept über ethische Entscheidungsfindung.</v>
      </c>
      <c r="L310" s="2297"/>
      <c r="M310" s="1284"/>
      <c r="N310" s="1279"/>
      <c r="O310" s="595"/>
      <c r="P310" s="599"/>
      <c r="AA310" s="360" t="str">
        <f>Kriterien!R226</f>
        <v>Die IS verfügt über ein Konzept über ethische Entscheidungsfindung.</v>
      </c>
      <c r="AB310" s="361" t="str">
        <f>Kriterien!S226</f>
        <v>L'Unité dispose d'un concept applicable aux décisions d'éthique.</v>
      </c>
      <c r="AC310" s="364" t="str">
        <f t="shared" si="43"/>
        <v>Die IS verfügt über ein Konzept über ethische Entscheidungsfindung.</v>
      </c>
      <c r="AD310" s="673" t="str">
        <f>Kriterien!U226</f>
        <v>Visitation, Dokument</v>
      </c>
      <c r="AE310" s="622" t="str">
        <f>Kriterien!V226</f>
        <v>Visite, document</v>
      </c>
      <c r="AF310" s="623" t="str">
        <f t="shared" si="44"/>
        <v>Visitation, Dokument</v>
      </c>
    </row>
    <row r="311" spans="1:32" s="116" customFormat="1" ht="42.75" customHeight="1">
      <c r="A311" s="1036"/>
      <c r="B311" s="1036"/>
      <c r="C311" s="603"/>
      <c r="D311" s="2163"/>
      <c r="E311" s="1037"/>
      <c r="F311" s="1038"/>
      <c r="G311" s="551"/>
      <c r="H311" s="181"/>
      <c r="I311" s="181"/>
      <c r="J311" s="652"/>
      <c r="K311" s="747"/>
      <c r="L311" s="1270"/>
      <c r="M311" s="1284"/>
      <c r="N311" s="1279"/>
      <c r="O311" s="595"/>
      <c r="P311" s="599"/>
      <c r="AA311" s="676"/>
      <c r="AB311" s="677"/>
      <c r="AC311" s="678"/>
      <c r="AD311" s="664"/>
      <c r="AE311" s="664"/>
      <c r="AF311" s="665"/>
    </row>
    <row r="312" spans="1:32" s="116" customFormat="1" ht="42.75" customHeight="1">
      <c r="A312" s="1036"/>
      <c r="B312" s="1036"/>
      <c r="C312" s="603"/>
      <c r="D312" s="2163"/>
      <c r="E312" s="1037"/>
      <c r="F312" s="1038"/>
      <c r="G312" s="551"/>
      <c r="H312" s="181"/>
      <c r="I312" s="181"/>
      <c r="J312" s="652"/>
      <c r="K312" s="747"/>
      <c r="L312" s="1270"/>
      <c r="M312" s="1285"/>
      <c r="N312" s="1280"/>
      <c r="O312" s="1175"/>
      <c r="P312" s="1176"/>
      <c r="AA312" s="676"/>
      <c r="AB312" s="677"/>
      <c r="AC312" s="678"/>
      <c r="AD312" s="664"/>
      <c r="AE312" s="664"/>
      <c r="AF312" s="665"/>
    </row>
    <row r="313" spans="1:32" s="609" customFormat="1" ht="42.75" customHeight="1">
      <c r="A313" s="649" t="str">
        <f>AC313</f>
        <v>Abschliessende Bemerkungen der Experten pro Kapiteln</v>
      </c>
      <c r="B313" s="650"/>
      <c r="C313" s="650"/>
      <c r="D313" s="650"/>
      <c r="E313" s="650"/>
      <c r="F313" s="610"/>
      <c r="G313" s="612"/>
      <c r="H313" s="611"/>
      <c r="I313" s="613"/>
      <c r="J313" s="23"/>
      <c r="K313" s="748"/>
      <c r="L313" s="1247"/>
      <c r="M313" s="1301"/>
      <c r="N313" s="1302"/>
      <c r="O313" s="1303"/>
      <c r="P313" s="1304"/>
      <c r="AA313" s="474" t="s">
        <v>956</v>
      </c>
      <c r="AB313" s="475" t="s">
        <v>957</v>
      </c>
      <c r="AC313" s="476" t="str">
        <f t="shared" ref="AC313:AC324" si="47">IF(AA313=0,"",IF($A$1="D",AA313,AB313))</f>
        <v>Abschliessende Bemerkungen der Experten pro Kapiteln</v>
      </c>
      <c r="AD313" s="671"/>
      <c r="AE313" s="618"/>
      <c r="AF313" s="619"/>
    </row>
    <row r="314" spans="1:32" s="18" customFormat="1" ht="78" customHeight="1">
      <c r="A314" s="2243" t="str">
        <f>L125</f>
        <v>Abschliessender Kommentar Kapitel 1. 
Merkmale einer IS und Kennzahlen</v>
      </c>
      <c r="B314" s="2244"/>
      <c r="C314" s="2244"/>
      <c r="D314" s="2244"/>
      <c r="E314" s="152"/>
      <c r="F314" s="2233">
        <f>L126</f>
        <v>0</v>
      </c>
      <c r="G314" s="2233"/>
      <c r="H314" s="2233"/>
      <c r="I314" s="2234"/>
      <c r="J314" s="684"/>
      <c r="K314" s="749"/>
      <c r="L314" s="1271" t="str">
        <f>AC$314</f>
        <v>Kommentare werden automatisch aus den oberen blauen Felder übernommen.</v>
      </c>
      <c r="M314" s="1301"/>
      <c r="N314" s="1302"/>
      <c r="O314" s="1303"/>
      <c r="P314" s="1304"/>
      <c r="AA314" s="302" t="s">
        <v>1354</v>
      </c>
      <c r="AB314" s="315" t="s">
        <v>937</v>
      </c>
      <c r="AC314" s="362" t="str">
        <f t="shared" si="47"/>
        <v>Kommentare werden automatisch aus den oberen blauen Felder übernommen.</v>
      </c>
      <c r="AD314" s="670"/>
      <c r="AE314" s="616"/>
      <c r="AF314" s="617"/>
    </row>
    <row r="315" spans="1:32" s="18" customFormat="1" ht="78" customHeight="1">
      <c r="A315" s="2243" t="str">
        <f>L181</f>
        <v>Abschliessender Kommentar Kapitel 2. 
Räumliche/architektonische Anforderungen</v>
      </c>
      <c r="B315" s="2244"/>
      <c r="C315" s="2244"/>
      <c r="D315" s="2244"/>
      <c r="E315" s="152"/>
      <c r="F315" s="2233">
        <f>L182</f>
        <v>0</v>
      </c>
      <c r="G315" s="2233"/>
      <c r="H315" s="2233"/>
      <c r="I315" s="2234"/>
      <c r="J315" s="684"/>
      <c r="K315" s="749"/>
      <c r="L315" s="1271" t="str">
        <f t="shared" ref="L315:L323" si="48">AC$314</f>
        <v>Kommentare werden automatisch aus den oberen blauen Felder übernommen.</v>
      </c>
      <c r="M315" s="1301"/>
      <c r="N315" s="1302"/>
      <c r="O315" s="1303"/>
      <c r="P315" s="1304"/>
      <c r="AA315" s="302"/>
      <c r="AB315" s="315"/>
      <c r="AC315" s="362" t="str">
        <f t="shared" si="47"/>
        <v/>
      </c>
      <c r="AD315" s="670"/>
      <c r="AE315" s="616"/>
      <c r="AF315" s="617"/>
    </row>
    <row r="316" spans="1:32" s="18" customFormat="1" ht="78" customHeight="1">
      <c r="A316" s="2243" t="str">
        <f>L207</f>
        <v>Abschliessender Kommentar Kapitel 3. 
Einrichtung des Patientenplatzes</v>
      </c>
      <c r="B316" s="2244"/>
      <c r="C316" s="2244"/>
      <c r="D316" s="2244"/>
      <c r="E316" s="152"/>
      <c r="F316" s="2233">
        <f>L208</f>
        <v>0</v>
      </c>
      <c r="G316" s="2233"/>
      <c r="H316" s="2233"/>
      <c r="I316" s="2234"/>
      <c r="J316" s="684"/>
      <c r="K316" s="749"/>
      <c r="L316" s="1271" t="str">
        <f t="shared" si="48"/>
        <v>Kommentare werden automatisch aus den oberen blauen Felder übernommen.</v>
      </c>
      <c r="M316" s="1301"/>
      <c r="N316" s="1302"/>
      <c r="O316" s="1303"/>
      <c r="P316" s="1304"/>
      <c r="AA316" s="302"/>
      <c r="AB316" s="315"/>
      <c r="AC316" s="362" t="str">
        <f t="shared" si="47"/>
        <v/>
      </c>
      <c r="AD316" s="670"/>
      <c r="AE316" s="616"/>
      <c r="AF316" s="617"/>
    </row>
    <row r="317" spans="1:32" s="18" customFormat="1" ht="78" customHeight="1">
      <c r="A317" s="2243" t="str">
        <f>L234</f>
        <v>Abschliessender Kommentar Kapitel 4.1. 
Ärztlicher Dienst</v>
      </c>
      <c r="B317" s="2244"/>
      <c r="C317" s="2244"/>
      <c r="D317" s="2244"/>
      <c r="E317" s="152"/>
      <c r="F317" s="2233">
        <f>L235</f>
        <v>0</v>
      </c>
      <c r="G317" s="2233"/>
      <c r="H317" s="2233"/>
      <c r="I317" s="2234"/>
      <c r="J317" s="684"/>
      <c r="K317" s="749"/>
      <c r="L317" s="1271" t="str">
        <f t="shared" si="48"/>
        <v>Kommentare werden automatisch aus den oberen blauen Felder übernommen.</v>
      </c>
      <c r="M317" s="1301"/>
      <c r="N317" s="1302"/>
      <c r="O317" s="1303"/>
      <c r="P317" s="1304"/>
      <c r="AA317" s="302"/>
      <c r="AB317" s="315"/>
      <c r="AC317" s="362" t="str">
        <f t="shared" si="47"/>
        <v/>
      </c>
      <c r="AD317" s="670"/>
      <c r="AE317" s="616"/>
      <c r="AF317" s="617"/>
    </row>
    <row r="318" spans="1:32" s="18" customFormat="1" ht="94" customHeight="1">
      <c r="A318" s="2243" t="str">
        <f>L261</f>
        <v>Abschliessender Kommentar Kapitel 4.2. 
Pflegepersonal (siehe auch Tabelle zur Pflegestellenberechnung)</v>
      </c>
      <c r="B318" s="2244"/>
      <c r="C318" s="2244"/>
      <c r="D318" s="2244"/>
      <c r="E318" s="152"/>
      <c r="F318" s="2233">
        <f>L262</f>
        <v>0</v>
      </c>
      <c r="G318" s="2233"/>
      <c r="H318" s="2233"/>
      <c r="I318" s="2234"/>
      <c r="J318" s="684"/>
      <c r="K318" s="749"/>
      <c r="L318" s="1271" t="str">
        <f t="shared" si="48"/>
        <v>Kommentare werden automatisch aus den oberen blauen Felder übernommen.</v>
      </c>
      <c r="M318" s="1301"/>
      <c r="N318" s="1302"/>
      <c r="O318" s="1303"/>
      <c r="P318" s="1304"/>
      <c r="AA318" s="302"/>
      <c r="AB318" s="315"/>
      <c r="AC318" s="362" t="str">
        <f t="shared" si="47"/>
        <v/>
      </c>
      <c r="AD318" s="670"/>
      <c r="AE318" s="616"/>
      <c r="AF318" s="617"/>
    </row>
    <row r="319" spans="1:32" s="18" customFormat="1" ht="78" customHeight="1">
      <c r="A319" s="2243" t="str">
        <f>L269</f>
        <v>Abschliessender Kommentar Kapitel 4.3-6.
Zusätzliches Personal</v>
      </c>
      <c r="B319" s="2244"/>
      <c r="C319" s="2244"/>
      <c r="D319" s="2244"/>
      <c r="E319" s="152"/>
      <c r="F319" s="2233">
        <f>L270</f>
        <v>0</v>
      </c>
      <c r="G319" s="2233"/>
      <c r="H319" s="2233"/>
      <c r="I319" s="2234"/>
      <c r="J319" s="684"/>
      <c r="K319" s="749"/>
      <c r="L319" s="1271" t="str">
        <f t="shared" si="48"/>
        <v>Kommentare werden automatisch aus den oberen blauen Felder übernommen.</v>
      </c>
      <c r="M319" s="1301"/>
      <c r="N319" s="1302"/>
      <c r="O319" s="1303"/>
      <c r="P319" s="1304"/>
      <c r="AA319" s="302"/>
      <c r="AB319" s="315"/>
      <c r="AC319" s="362" t="str">
        <f t="shared" si="47"/>
        <v/>
      </c>
      <c r="AD319" s="670"/>
      <c r="AE319" s="616"/>
      <c r="AF319" s="617"/>
    </row>
    <row r="320" spans="1:32" s="18" customFormat="1" ht="56" customHeight="1">
      <c r="A320" s="2243" t="str">
        <f>L282</f>
        <v>Abschliessender Kommentar Kapitel 5. 
Diagnostik und Monitoring</v>
      </c>
      <c r="B320" s="2244"/>
      <c r="C320" s="2244"/>
      <c r="D320" s="2244"/>
      <c r="E320" s="152"/>
      <c r="F320" s="2233">
        <f>L283</f>
        <v>0</v>
      </c>
      <c r="G320" s="2233"/>
      <c r="H320" s="2233"/>
      <c r="I320" s="2234"/>
      <c r="J320" s="684"/>
      <c r="K320" s="749"/>
      <c r="L320" s="1271" t="str">
        <f t="shared" si="48"/>
        <v>Kommentare werden automatisch aus den oberen blauen Felder übernommen.</v>
      </c>
      <c r="M320" s="1301"/>
      <c r="N320" s="1302"/>
      <c r="O320" s="1303"/>
      <c r="P320" s="1304"/>
      <c r="AA320" s="302"/>
      <c r="AB320" s="315"/>
      <c r="AC320" s="362" t="str">
        <f t="shared" si="47"/>
        <v/>
      </c>
      <c r="AD320" s="670"/>
      <c r="AE320" s="616"/>
      <c r="AF320" s="617"/>
    </row>
    <row r="321" spans="1:32" s="18" customFormat="1" ht="56" customHeight="1">
      <c r="A321" s="2243" t="str">
        <f>L287</f>
        <v>Abschliessender Kommentar Kapitel 6. 
Notwendige Einrichtungen für Therapien</v>
      </c>
      <c r="B321" s="2244"/>
      <c r="C321" s="2244"/>
      <c r="D321" s="2244"/>
      <c r="E321" s="152"/>
      <c r="F321" s="2233">
        <f>L288</f>
        <v>0</v>
      </c>
      <c r="G321" s="2233"/>
      <c r="H321" s="2233"/>
      <c r="I321" s="2234"/>
      <c r="J321" s="684"/>
      <c r="K321" s="749"/>
      <c r="L321" s="1271" t="str">
        <f t="shared" si="48"/>
        <v>Kommentare werden automatisch aus den oberen blauen Felder übernommen.</v>
      </c>
      <c r="M321" s="1301"/>
      <c r="N321" s="1302"/>
      <c r="O321" s="1303"/>
      <c r="P321" s="1304"/>
      <c r="AA321" s="302"/>
      <c r="AB321" s="315"/>
      <c r="AC321" s="362" t="str">
        <f t="shared" si="47"/>
        <v/>
      </c>
      <c r="AD321" s="670"/>
      <c r="AE321" s="616"/>
      <c r="AF321" s="617"/>
    </row>
    <row r="322" spans="1:32" s="18" customFormat="1" ht="56" customHeight="1">
      <c r="A322" s="2243" t="str">
        <f>L290</f>
        <v>Abschliessender Kommentar Kapitel 7. 
Transporte</v>
      </c>
      <c r="B322" s="2244"/>
      <c r="C322" s="2244"/>
      <c r="D322" s="2244"/>
      <c r="E322" s="152"/>
      <c r="F322" s="2233">
        <f>L291</f>
        <v>0</v>
      </c>
      <c r="G322" s="2233"/>
      <c r="H322" s="2233"/>
      <c r="I322" s="2234"/>
      <c r="J322" s="684"/>
      <c r="K322" s="749"/>
      <c r="L322" s="1271" t="str">
        <f t="shared" si="48"/>
        <v>Kommentare werden automatisch aus den oberen blauen Felder übernommen.</v>
      </c>
      <c r="M322" s="1301"/>
      <c r="N322" s="1302"/>
      <c r="O322" s="1303"/>
      <c r="P322" s="1304"/>
      <c r="AA322" s="302"/>
      <c r="AB322" s="315"/>
      <c r="AC322" s="362" t="str">
        <f t="shared" si="47"/>
        <v/>
      </c>
      <c r="AD322" s="670"/>
      <c r="AE322" s="616"/>
      <c r="AF322" s="617"/>
    </row>
    <row r="323" spans="1:32" s="18" customFormat="1" ht="56" customHeight="1">
      <c r="A323" s="2243" t="str">
        <f>L300</f>
        <v>Abschliessender Kommentar Kapitel 8. 
Lehre und Forschung</v>
      </c>
      <c r="B323" s="2244"/>
      <c r="C323" s="2244"/>
      <c r="D323" s="2244"/>
      <c r="E323" s="152"/>
      <c r="F323" s="2233">
        <f>L301</f>
        <v>0</v>
      </c>
      <c r="G323" s="2233"/>
      <c r="H323" s="2233"/>
      <c r="I323" s="2234"/>
      <c r="J323" s="684"/>
      <c r="K323" s="749"/>
      <c r="L323" s="1271" t="str">
        <f t="shared" si="48"/>
        <v>Kommentare werden automatisch aus den oberen blauen Felder übernommen.</v>
      </c>
      <c r="M323" s="1301"/>
      <c r="N323" s="1302"/>
      <c r="O323" s="1303"/>
      <c r="P323" s="1304"/>
      <c r="AA323" s="302"/>
      <c r="AB323" s="315"/>
      <c r="AC323" s="362" t="str">
        <f t="shared" si="47"/>
        <v/>
      </c>
      <c r="AD323" s="670"/>
      <c r="AE323" s="616"/>
      <c r="AF323" s="617"/>
    </row>
    <row r="324" spans="1:32" s="18" customFormat="1" ht="56" customHeight="1">
      <c r="A324" s="2309" t="str">
        <f>L305</f>
        <v>Abschliessender Kommentar Kapitel 9. 
Weitere Vorgaben</v>
      </c>
      <c r="B324" s="2310"/>
      <c r="C324" s="2310"/>
      <c r="D324" s="2310"/>
      <c r="E324" s="651"/>
      <c r="F324" s="2311">
        <f>L306</f>
        <v>0</v>
      </c>
      <c r="G324" s="2311"/>
      <c r="H324" s="2311"/>
      <c r="I324" s="2312"/>
      <c r="J324" s="684"/>
      <c r="K324" s="749"/>
      <c r="L324" s="1271" t="str">
        <f>AC$314</f>
        <v>Kommentare werden automatisch aus den oberen blauen Felder übernommen.</v>
      </c>
      <c r="M324" s="1301"/>
      <c r="N324" s="1302"/>
      <c r="O324" s="1303"/>
      <c r="P324" s="1304"/>
      <c r="AA324" s="302"/>
      <c r="AB324" s="315"/>
      <c r="AC324" s="362" t="str">
        <f t="shared" si="47"/>
        <v/>
      </c>
      <c r="AD324" s="670"/>
      <c r="AE324" s="616"/>
      <c r="AF324" s="617"/>
    </row>
    <row r="325" spans="1:32">
      <c r="A325" s="198"/>
      <c r="M325" s="1285"/>
      <c r="N325" s="1280"/>
      <c r="O325" s="1280"/>
      <c r="P325" s="1176"/>
      <c r="AC325" s="362" t="str">
        <f t="shared" si="43"/>
        <v/>
      </c>
      <c r="AF325" s="617" t="str">
        <f t="shared" si="44"/>
        <v/>
      </c>
    </row>
    <row r="326" spans="1:32" s="18" customFormat="1" ht="15" customHeight="1">
      <c r="E326" s="183"/>
      <c r="F326" s="21"/>
      <c r="G326" s="27"/>
      <c r="H326" s="23"/>
      <c r="I326" s="23"/>
      <c r="J326" s="23"/>
      <c r="K326" s="145"/>
      <c r="L326" s="1247"/>
      <c r="M326" s="1285"/>
      <c r="N326" s="1280"/>
      <c r="O326" s="1280"/>
      <c r="P326" s="1176"/>
      <c r="AA326" s="302"/>
      <c r="AB326" s="315"/>
      <c r="AC326" s="362" t="str">
        <f t="shared" si="43"/>
        <v/>
      </c>
      <c r="AD326" s="670"/>
      <c r="AE326" s="616"/>
      <c r="AF326" s="617" t="str">
        <f t="shared" si="44"/>
        <v/>
      </c>
    </row>
    <row r="327" spans="1:32" s="18" customFormat="1" ht="31.5" customHeight="1">
      <c r="A327" s="541" t="str">
        <f>AC327</f>
        <v>Zusammenfassung aller deklarierten Kriterien</v>
      </c>
      <c r="E327" s="183"/>
      <c r="F327" s="21"/>
      <c r="G327" s="27"/>
      <c r="H327" s="23"/>
      <c r="I327" s="23"/>
      <c r="J327" s="23"/>
      <c r="K327" s="750"/>
      <c r="L327" s="1247"/>
      <c r="M327" s="1285"/>
      <c r="N327" s="1280"/>
      <c r="O327" s="1280"/>
      <c r="P327" s="1176"/>
      <c r="AA327" s="302" t="s">
        <v>730</v>
      </c>
      <c r="AB327" s="315" t="s">
        <v>731</v>
      </c>
      <c r="AC327" s="362" t="str">
        <f t="shared" si="43"/>
        <v>Zusammenfassung aller deklarierten Kriterien</v>
      </c>
      <c r="AD327" s="670" t="s">
        <v>878</v>
      </c>
      <c r="AE327" s="616" t="s">
        <v>879</v>
      </c>
      <c r="AF327" s="617" t="str">
        <f t="shared" si="44"/>
        <v>Zusammenfassung: Stärken</v>
      </c>
    </row>
    <row r="328" spans="1:32" s="18" customFormat="1" ht="15" customHeight="1">
      <c r="E328" s="183"/>
      <c r="F328" s="21"/>
      <c r="G328" s="27"/>
      <c r="H328" s="23"/>
      <c r="I328" s="23"/>
      <c r="J328" s="23"/>
      <c r="K328" s="750"/>
      <c r="L328" s="1247"/>
      <c r="M328" s="2276"/>
      <c r="N328" s="2273"/>
      <c r="O328" s="2273"/>
      <c r="P328" s="2270"/>
      <c r="AA328" s="302"/>
      <c r="AB328" s="315"/>
      <c r="AC328" s="362" t="str">
        <f t="shared" si="43"/>
        <v/>
      </c>
      <c r="AD328" s="670"/>
      <c r="AE328" s="616"/>
      <c r="AF328" s="617" t="str">
        <f t="shared" si="44"/>
        <v/>
      </c>
    </row>
    <row r="329" spans="1:32" s="18" customFormat="1" ht="15" customHeight="1">
      <c r="A329" s="285" t="str">
        <f>AC329</f>
        <v>Summe:</v>
      </c>
      <c r="E329" s="183"/>
      <c r="F329" s="21"/>
      <c r="G329" s="27"/>
      <c r="H329" s="23"/>
      <c r="I329" s="23"/>
      <c r="J329" s="23"/>
      <c r="K329" s="750"/>
      <c r="L329" s="1247"/>
      <c r="M329" s="2277"/>
      <c r="N329" s="2274"/>
      <c r="O329" s="2274"/>
      <c r="P329" s="2271"/>
      <c r="AA329" s="302" t="s">
        <v>339</v>
      </c>
      <c r="AB329" s="315" t="s">
        <v>725</v>
      </c>
      <c r="AC329" s="362" t="str">
        <f t="shared" si="43"/>
        <v>Summe:</v>
      </c>
      <c r="AD329" s="670"/>
      <c r="AE329" s="616"/>
      <c r="AF329" s="617" t="str">
        <f t="shared" si="44"/>
        <v/>
      </c>
    </row>
    <row r="330" spans="1:32" s="18" customFormat="1" ht="15" customHeight="1">
      <c r="A330" s="273">
        <f>SUM(A107:A310)</f>
        <v>0</v>
      </c>
      <c r="B330" s="275">
        <f>SUM(B107:B310)</f>
        <v>0</v>
      </c>
      <c r="C330" s="278">
        <f>SUM(C107:C310)</f>
        <v>0</v>
      </c>
      <c r="D330" s="279">
        <f>SUM(D107:D310)</f>
        <v>0</v>
      </c>
      <c r="E330" s="183"/>
      <c r="F330" s="285" t="str">
        <f>AC330</f>
        <v>Summe der total erreichten Punkte</v>
      </c>
      <c r="G330" s="27"/>
      <c r="H330" s="23"/>
      <c r="I330" s="23"/>
      <c r="J330" s="23"/>
      <c r="K330" s="751"/>
      <c r="L330" s="1247"/>
      <c r="M330" s="2277"/>
      <c r="N330" s="2274"/>
      <c r="O330" s="2274"/>
      <c r="P330" s="2271"/>
      <c r="AA330" s="302" t="s">
        <v>342</v>
      </c>
      <c r="AB330" s="315" t="s">
        <v>732</v>
      </c>
      <c r="AC330" s="362" t="str">
        <f t="shared" si="43"/>
        <v>Summe der total erreichten Punkte</v>
      </c>
      <c r="AD330" s="670"/>
      <c r="AE330" s="616"/>
      <c r="AF330" s="617" t="str">
        <f t="shared" si="44"/>
        <v/>
      </c>
    </row>
    <row r="331" spans="1:32" s="18" customFormat="1" ht="15" customHeight="1">
      <c r="A331" s="285" t="str">
        <f>AC331</f>
        <v>% erreicht:</v>
      </c>
      <c r="C331" s="23"/>
      <c r="D331" s="23"/>
      <c r="E331" s="183"/>
      <c r="F331" s="27"/>
      <c r="G331" s="27"/>
      <c r="H331" s="23"/>
      <c r="I331" s="23"/>
      <c r="J331" s="23"/>
      <c r="K331" s="750"/>
      <c r="L331" s="1247"/>
      <c r="M331" s="2277"/>
      <c r="N331" s="2274"/>
      <c r="O331" s="2274"/>
      <c r="P331" s="2271"/>
      <c r="AA331" s="302" t="s">
        <v>344</v>
      </c>
      <c r="AB331" s="315" t="s">
        <v>736</v>
      </c>
      <c r="AC331" s="362" t="str">
        <f t="shared" si="43"/>
        <v>% erreicht:</v>
      </c>
      <c r="AD331" s="670"/>
      <c r="AE331" s="616"/>
      <c r="AF331" s="617" t="str">
        <f t="shared" si="44"/>
        <v/>
      </c>
    </row>
    <row r="332" spans="1:32" s="18" customFormat="1" ht="15" customHeight="1">
      <c r="A332" s="276">
        <f>A330/C342</f>
        <v>0</v>
      </c>
      <c r="B332" s="277">
        <f>B330/D342</f>
        <v>0</v>
      </c>
      <c r="C332" s="280">
        <f>C330/C342</f>
        <v>0</v>
      </c>
      <c r="D332" s="281">
        <f>D330/D342</f>
        <v>0</v>
      </c>
      <c r="E332" s="588"/>
      <c r="F332" s="285" t="str">
        <f>AC332</f>
        <v>Erreicht in % der max. Punktzahl</v>
      </c>
      <c r="G332" s="27"/>
      <c r="H332" s="23"/>
      <c r="I332" s="23"/>
      <c r="J332" s="23"/>
      <c r="K332" s="751"/>
      <c r="L332" s="1247"/>
      <c r="M332" s="2277"/>
      <c r="N332" s="2274"/>
      <c r="O332" s="2274"/>
      <c r="P332" s="2271"/>
      <c r="AA332" s="302" t="s">
        <v>341</v>
      </c>
      <c r="AB332" s="315" t="s">
        <v>733</v>
      </c>
      <c r="AC332" s="362" t="str">
        <f t="shared" si="43"/>
        <v>Erreicht in % der max. Punktzahl</v>
      </c>
      <c r="AD332" s="670"/>
      <c r="AE332" s="616"/>
      <c r="AF332" s="617" t="str">
        <f t="shared" si="44"/>
        <v/>
      </c>
    </row>
    <row r="333" spans="1:32" s="18" customFormat="1" ht="15" customHeight="1">
      <c r="A333" s="285" t="str">
        <f>AC333</f>
        <v>Nicht erreichte Punkte</v>
      </c>
      <c r="C333" s="23"/>
      <c r="D333" s="23"/>
      <c r="E333" s="183"/>
      <c r="F333" s="27"/>
      <c r="G333" s="27"/>
      <c r="H333" s="23"/>
      <c r="I333" s="23"/>
      <c r="J333" s="23"/>
      <c r="K333" s="750"/>
      <c r="L333" s="1247"/>
      <c r="M333" s="2277"/>
      <c r="N333" s="2274"/>
      <c r="O333" s="2274"/>
      <c r="P333" s="2271"/>
      <c r="AA333" s="302" t="s">
        <v>751</v>
      </c>
      <c r="AB333" s="315" t="s">
        <v>737</v>
      </c>
      <c r="AC333" s="362" t="str">
        <f t="shared" si="43"/>
        <v>Nicht erreichte Punkte</v>
      </c>
      <c r="AD333" s="670"/>
      <c r="AE333" s="616"/>
      <c r="AF333" s="617" t="str">
        <f t="shared" si="44"/>
        <v/>
      </c>
    </row>
    <row r="334" spans="1:32" s="18" customFormat="1" ht="15" customHeight="1">
      <c r="A334" s="273">
        <f>COUNTIF(A107:A310,0)</f>
        <v>108</v>
      </c>
      <c r="B334" s="275">
        <f>COUNTIF(B107:B310,0)*2+COUNTIF(B107:B310,1)</f>
        <v>70</v>
      </c>
      <c r="C334" s="286">
        <f>COUNTIF(C107:C310,0)</f>
        <v>0</v>
      </c>
      <c r="D334" s="279">
        <f>COUNTIF(D107:D310,0)*2+COUNTIF(D107:D310,1)</f>
        <v>0</v>
      </c>
      <c r="E334" s="183"/>
      <c r="F334" s="285" t="str">
        <f>AC334</f>
        <v>Summe der nicht erreichten Punkte</v>
      </c>
      <c r="G334" s="27"/>
      <c r="H334" s="23"/>
      <c r="I334" s="23"/>
      <c r="J334" s="23"/>
      <c r="K334" s="751"/>
      <c r="L334" s="1247"/>
      <c r="M334" s="2277"/>
      <c r="N334" s="2274"/>
      <c r="O334" s="2274"/>
      <c r="P334" s="2271"/>
      <c r="AA334" s="302" t="s">
        <v>735</v>
      </c>
      <c r="AB334" s="315" t="s">
        <v>734</v>
      </c>
      <c r="AC334" s="362" t="str">
        <f t="shared" si="43"/>
        <v>Summe der nicht erreichten Punkte</v>
      </c>
      <c r="AD334" s="670"/>
      <c r="AE334" s="616"/>
      <c r="AF334" s="617" t="str">
        <f t="shared" si="44"/>
        <v/>
      </c>
    </row>
    <row r="335" spans="1:32" s="18" customFormat="1" ht="26.25" customHeight="1">
      <c r="C335" s="23"/>
      <c r="D335" s="23"/>
      <c r="E335" s="183"/>
      <c r="F335" s="21"/>
      <c r="G335" s="27"/>
      <c r="H335" s="23"/>
      <c r="I335" s="23"/>
      <c r="J335" s="23"/>
      <c r="K335" s="750"/>
      <c r="L335" s="1247"/>
      <c r="M335" s="2277"/>
      <c r="N335" s="2274"/>
      <c r="O335" s="2274"/>
      <c r="P335" s="2271"/>
      <c r="AA335" s="302"/>
      <c r="AB335" s="315"/>
      <c r="AC335" s="362" t="str">
        <f t="shared" si="43"/>
        <v/>
      </c>
      <c r="AD335" s="670"/>
      <c r="AE335" s="616"/>
      <c r="AF335" s="617" t="str">
        <f t="shared" si="44"/>
        <v/>
      </c>
    </row>
    <row r="336" spans="1:32" s="18" customFormat="1" ht="19.5" customHeight="1">
      <c r="A336" s="289" t="str">
        <f>AC336</f>
        <v>Datenkontrolle:</v>
      </c>
      <c r="B336" s="266"/>
      <c r="C336" s="283"/>
      <c r="D336" s="283"/>
      <c r="E336" s="589"/>
      <c r="F336" s="294"/>
      <c r="G336" s="27"/>
      <c r="H336" s="23"/>
      <c r="I336" s="23"/>
      <c r="J336" s="23"/>
      <c r="K336" s="750"/>
      <c r="L336" s="1247"/>
      <c r="M336" s="2277"/>
      <c r="N336" s="2274"/>
      <c r="O336" s="2274"/>
      <c r="P336" s="2271"/>
      <c r="AA336" s="302" t="s">
        <v>726</v>
      </c>
      <c r="AB336" s="315" t="s">
        <v>729</v>
      </c>
      <c r="AC336" s="362" t="str">
        <f t="shared" si="43"/>
        <v>Datenkontrolle:</v>
      </c>
      <c r="AD336" s="670"/>
      <c r="AE336" s="616"/>
      <c r="AF336" s="617" t="str">
        <f t="shared" si="44"/>
        <v/>
      </c>
    </row>
    <row r="337" spans="1:32" s="141" customFormat="1" ht="15" customHeight="1">
      <c r="A337" s="375" t="str">
        <f>IF(A339=0,"ok","incomplete")</f>
        <v>incomplete</v>
      </c>
      <c r="B337" s="376" t="str">
        <f>IF(B339=0,"ok","incomplete")</f>
        <v>incomplete</v>
      </c>
      <c r="C337" s="292" t="str">
        <f t="shared" ref="C337:D337" si="49">IF(C339=0,"ok","incomplete")</f>
        <v>incomplete</v>
      </c>
      <c r="D337" s="292" t="str">
        <f t="shared" si="49"/>
        <v>incomplete</v>
      </c>
      <c r="E337" s="183"/>
      <c r="F337" s="246" t="str">
        <f>AC337</f>
        <v>ok = Alles ausgefüllt</v>
      </c>
      <c r="G337" s="27"/>
      <c r="H337" s="23"/>
      <c r="I337" s="23"/>
      <c r="J337" s="23"/>
      <c r="K337" s="750"/>
      <c r="L337" s="1247"/>
      <c r="M337" s="2277"/>
      <c r="N337" s="2274"/>
      <c r="O337" s="2274"/>
      <c r="P337" s="2271"/>
      <c r="AA337" s="302" t="s">
        <v>727</v>
      </c>
      <c r="AB337" s="315" t="s">
        <v>728</v>
      </c>
      <c r="AC337" s="362" t="str">
        <f t="shared" si="43"/>
        <v>ok = Alles ausgefüllt</v>
      </c>
      <c r="AD337" s="670"/>
      <c r="AE337" s="616"/>
      <c r="AF337" s="617" t="str">
        <f t="shared" si="44"/>
        <v/>
      </c>
    </row>
    <row r="338" spans="1:32" s="18" customFormat="1" ht="15" customHeight="1">
      <c r="A338" s="248">
        <f>'2 Autodeklaration'!A241</f>
        <v>0</v>
      </c>
      <c r="B338" s="291">
        <f>'2 Autodeklaration'!B241</f>
        <v>0</v>
      </c>
      <c r="C338" s="282">
        <f>COUNTA(C107:C310)</f>
        <v>0</v>
      </c>
      <c r="D338" s="282">
        <f>COUNTA(D107:D310)</f>
        <v>0</v>
      </c>
      <c r="E338" s="183"/>
      <c r="F338" s="295" t="str">
        <f>AC338</f>
        <v>Anzahl ausgefüllte Felder</v>
      </c>
      <c r="G338" s="27"/>
      <c r="H338" s="23"/>
      <c r="I338" s="23"/>
      <c r="J338" s="23"/>
      <c r="K338" s="750"/>
      <c r="L338" s="1247"/>
      <c r="M338" s="2277"/>
      <c r="N338" s="2274"/>
      <c r="O338" s="2274"/>
      <c r="P338" s="2271"/>
      <c r="AA338" s="302" t="s">
        <v>461</v>
      </c>
      <c r="AB338" s="315" t="s">
        <v>723</v>
      </c>
      <c r="AC338" s="362" t="str">
        <f t="shared" si="43"/>
        <v>Anzahl ausgefüllte Felder</v>
      </c>
      <c r="AD338" s="670" t="s">
        <v>1355</v>
      </c>
      <c r="AE338" s="616" t="s">
        <v>1356</v>
      </c>
      <c r="AF338" s="617" t="str">
        <f t="shared" si="44"/>
        <v>UNVOLLSTÄNDIG, bitte Spalte L ausfüllen →</v>
      </c>
    </row>
    <row r="339" spans="1:32" s="18" customFormat="1" ht="15" customHeight="1">
      <c r="A339" s="264">
        <f>Kriterien!A249-A338</f>
        <v>108</v>
      </c>
      <c r="B339" s="293">
        <f>Kriterien!B249-B338</f>
        <v>35</v>
      </c>
      <c r="C339" s="296">
        <f>Kriterien!A249-C338</f>
        <v>108</v>
      </c>
      <c r="D339" s="296">
        <f>Kriterien!B249-D338</f>
        <v>35</v>
      </c>
      <c r="E339" s="590"/>
      <c r="F339" s="297" t="str">
        <f>AC339</f>
        <v>Anzahl noch auszufüllende Felder</v>
      </c>
      <c r="G339" s="27"/>
      <c r="H339" s="23"/>
      <c r="I339" s="23"/>
      <c r="J339" s="23"/>
      <c r="K339" s="750"/>
      <c r="L339" s="1247"/>
      <c r="M339" s="2278"/>
      <c r="N339" s="2275"/>
      <c r="O339" s="2275"/>
      <c r="P339" s="2272"/>
      <c r="AA339" s="302" t="s">
        <v>462</v>
      </c>
      <c r="AB339" s="315" t="s">
        <v>724</v>
      </c>
      <c r="AC339" s="362" t="str">
        <f t="shared" si="43"/>
        <v>Anzahl noch auszufüllende Felder</v>
      </c>
      <c r="AD339" s="670" t="s">
        <v>946</v>
      </c>
      <c r="AE339" s="616" t="s">
        <v>947</v>
      </c>
      <c r="AF339" s="617" t="str">
        <f t="shared" si="44"/>
        <v>Ja, siehe unten</v>
      </c>
    </row>
    <row r="340" spans="1:32" s="18" customFormat="1" ht="27" customHeight="1">
      <c r="A340" s="282"/>
      <c r="B340" s="282"/>
      <c r="C340" s="23"/>
      <c r="D340" s="23"/>
      <c r="E340" s="183"/>
      <c r="F340" s="21"/>
      <c r="G340" s="27"/>
      <c r="H340" s="23"/>
      <c r="I340" s="23"/>
      <c r="J340" s="23"/>
      <c r="K340" s="750"/>
      <c r="L340" s="1247"/>
      <c r="M340" s="1285"/>
      <c r="N340" s="1280"/>
      <c r="O340" s="1280"/>
      <c r="P340" s="1176"/>
      <c r="AA340" s="302"/>
      <c r="AB340" s="315"/>
      <c r="AC340" s="362" t="str">
        <f t="shared" si="43"/>
        <v/>
      </c>
      <c r="AD340" s="670" t="s">
        <v>948</v>
      </c>
      <c r="AE340" s="616" t="s">
        <v>949</v>
      </c>
      <c r="AF340" s="617" t="str">
        <f t="shared" si="44"/>
        <v>Nein, keine</v>
      </c>
    </row>
    <row r="341" spans="1:32" s="18" customFormat="1" ht="15" customHeight="1">
      <c r="A341" s="289" t="str">
        <f>AC341</f>
        <v>Maximalpunktzahl gemäss Kriterien</v>
      </c>
      <c r="B341" s="283"/>
      <c r="C341" s="283"/>
      <c r="D341" s="283"/>
      <c r="E341" s="589"/>
      <c r="F341" s="294"/>
      <c r="G341" s="27"/>
      <c r="H341" s="23"/>
      <c r="I341" s="23"/>
      <c r="J341" s="23"/>
      <c r="K341" s="750"/>
      <c r="L341" s="1247"/>
      <c r="M341" s="1285"/>
      <c r="N341" s="1280"/>
      <c r="O341" s="1280"/>
      <c r="P341" s="1176"/>
      <c r="AA341" s="302" t="s">
        <v>738</v>
      </c>
      <c r="AB341" s="315" t="s">
        <v>740</v>
      </c>
      <c r="AC341" s="362" t="str">
        <f t="shared" si="43"/>
        <v>Maximalpunktzahl gemäss Kriterien</v>
      </c>
      <c r="AD341" s="670"/>
      <c r="AE341" s="616"/>
      <c r="AF341" s="617" t="str">
        <f t="shared" si="44"/>
        <v/>
      </c>
    </row>
    <row r="342" spans="1:32" s="18" customFormat="1" ht="15" customHeight="1">
      <c r="A342" s="249"/>
      <c r="C342" s="282">
        <f>Kriterien!$A$243</f>
        <v>108</v>
      </c>
      <c r="D342" s="282">
        <f>Kriterien!$B$243</f>
        <v>70</v>
      </c>
      <c r="E342" s="183"/>
      <c r="F342" s="246" t="str">
        <f>AC342</f>
        <v>Maximale mögliche Punktzahl</v>
      </c>
      <c r="G342" s="27"/>
      <c r="H342" s="23"/>
      <c r="I342" s="23"/>
      <c r="J342" s="23"/>
      <c r="K342" s="750"/>
      <c r="L342" s="1247"/>
      <c r="M342" s="1285"/>
      <c r="N342" s="1280"/>
      <c r="O342" s="1280"/>
      <c r="P342" s="1176"/>
      <c r="AA342" s="302" t="s">
        <v>352</v>
      </c>
      <c r="AB342" s="315" t="s">
        <v>741</v>
      </c>
      <c r="AC342" s="362" t="str">
        <f t="shared" si="43"/>
        <v>Maximale mögliche Punktzahl</v>
      </c>
      <c r="AD342" s="670" t="s">
        <v>880</v>
      </c>
      <c r="AE342" s="616" t="s">
        <v>881</v>
      </c>
      <c r="AF342" s="617" t="str">
        <f t="shared" ref="AF342" si="50">IF(AD342=0,"",IF($A$1="D",AD342,AE342))</f>
        <v>Zusammenfassung: Mängel</v>
      </c>
    </row>
    <row r="343" spans="1:32" s="18" customFormat="1" ht="15" customHeight="1">
      <c r="A343" s="290" t="str">
        <f>AC343</f>
        <v>Mindestanforderung gemäss Kriterien</v>
      </c>
      <c r="B343" s="23"/>
      <c r="C343" s="23"/>
      <c r="D343" s="23"/>
      <c r="E343" s="183"/>
      <c r="F343" s="298"/>
      <c r="G343" s="27"/>
      <c r="H343" s="23"/>
      <c r="I343" s="23"/>
      <c r="J343" s="23"/>
      <c r="K343" s="750"/>
      <c r="L343" s="1247"/>
      <c r="M343" s="1285"/>
      <c r="N343" s="1280"/>
      <c r="O343" s="1280"/>
      <c r="P343" s="1176"/>
      <c r="AA343" s="302" t="s">
        <v>739</v>
      </c>
      <c r="AB343" s="315" t="s">
        <v>742</v>
      </c>
      <c r="AC343" s="362" t="str">
        <f t="shared" si="43"/>
        <v>Mindestanforderung gemäss Kriterien</v>
      </c>
      <c r="AD343" s="670" t="s">
        <v>887</v>
      </c>
      <c r="AE343" s="616" t="s">
        <v>887</v>
      </c>
      <c r="AF343" s="617" t="str">
        <f t="shared" si="44"/>
        <v>←</v>
      </c>
    </row>
    <row r="344" spans="1:32" s="18" customFormat="1" ht="15" customHeight="1">
      <c r="A344" s="287"/>
      <c r="B344" s="288"/>
      <c r="C344" s="284">
        <f>Kriterien!$A$245</f>
        <v>1</v>
      </c>
      <c r="D344" s="284">
        <f>Kriterien!$B$245</f>
        <v>0.8</v>
      </c>
      <c r="E344" s="590"/>
      <c r="F344" s="245" t="str">
        <f>AC344</f>
        <v>Gefordete % für Zertifizierung ohne Auflagen</v>
      </c>
      <c r="G344" s="27"/>
      <c r="H344" s="23"/>
      <c r="I344" s="23"/>
      <c r="J344" s="23"/>
      <c r="K344" s="750"/>
      <c r="L344" s="1247"/>
      <c r="M344" s="1305"/>
      <c r="N344" s="1306"/>
      <c r="O344" s="1307"/>
      <c r="P344" s="1308"/>
      <c r="AA344" s="302" t="s">
        <v>2598</v>
      </c>
      <c r="AB344" s="315" t="s">
        <v>743</v>
      </c>
      <c r="AC344" s="362" t="str">
        <f t="shared" si="43"/>
        <v>Gefordete % für Zertifizierung ohne Auflagen</v>
      </c>
      <c r="AD344" s="670"/>
      <c r="AE344" s="616"/>
      <c r="AF344" s="628" t="str">
        <f t="shared" si="44"/>
        <v/>
      </c>
    </row>
    <row r="345" spans="1:32" s="18" customFormat="1" ht="39" customHeight="1" thickBot="1">
      <c r="C345" s="600"/>
      <c r="D345" s="600"/>
      <c r="E345" s="183"/>
      <c r="G345" s="27"/>
      <c r="H345" s="23"/>
      <c r="I345" s="23"/>
      <c r="J345" s="23"/>
      <c r="K345" s="750"/>
      <c r="L345" s="1247"/>
      <c r="M345" s="1301"/>
      <c r="N345" s="1302"/>
      <c r="O345" s="1303"/>
      <c r="P345" s="1304"/>
      <c r="AA345" s="302"/>
      <c r="AB345" s="315"/>
      <c r="AC345" s="362"/>
      <c r="AD345" s="671" t="s">
        <v>438</v>
      </c>
      <c r="AE345" s="618" t="s">
        <v>942</v>
      </c>
      <c r="AF345" s="701" t="str">
        <f t="shared" si="44"/>
        <v>Ja</v>
      </c>
    </row>
    <row r="346" spans="1:32" s="609" customFormat="1" ht="48" customHeight="1" thickBot="1">
      <c r="A346" s="757" t="str">
        <f>AC346</f>
        <v>Abschliessende Beurteilung der Experten</v>
      </c>
      <c r="B346" s="758"/>
      <c r="C346" s="758"/>
      <c r="D346" s="758"/>
      <c r="E346" s="758"/>
      <c r="F346" s="610"/>
      <c r="G346" s="612"/>
      <c r="H346" s="611"/>
      <c r="I346" s="613"/>
      <c r="J346" s="23"/>
      <c r="K346" s="2286" t="str">
        <f>AF348</f>
        <v>Bitte hier drunter  abschliessende Kommentare eingeben. Erscheinen in der Zusammenfassung.</v>
      </c>
      <c r="L346" s="2287"/>
      <c r="M346" s="1301"/>
      <c r="N346" s="1302"/>
      <c r="O346" s="1303"/>
      <c r="P346" s="1304"/>
      <c r="AA346" s="474" t="s">
        <v>882</v>
      </c>
      <c r="AB346" s="475" t="s">
        <v>883</v>
      </c>
      <c r="AC346" s="476" t="str">
        <f t="shared" ref="AC346:AC352" si="51">IF(AA346=0,"",IF($A$1="D",AA346,AB346))</f>
        <v>Abschliessende Beurteilung der Experten</v>
      </c>
      <c r="AD346" s="671" t="s">
        <v>439</v>
      </c>
      <c r="AE346" s="618" t="s">
        <v>943</v>
      </c>
      <c r="AF346" s="701" t="str">
        <f t="shared" si="44"/>
        <v>Nein</v>
      </c>
    </row>
    <row r="347" spans="1:32" s="18" customFormat="1" ht="102" customHeight="1" thickBot="1">
      <c r="A347" s="2235" t="str">
        <f>AC347</f>
        <v>Stärken</v>
      </c>
      <c r="B347" s="2236"/>
      <c r="C347" s="2236"/>
      <c r="D347" s="2236"/>
      <c r="E347" s="2236"/>
      <c r="F347" s="2233" t="str">
        <f>IF(K347=0,"/",K347)</f>
        <v>/</v>
      </c>
      <c r="G347" s="2233"/>
      <c r="H347" s="2233"/>
      <c r="I347" s="2234"/>
      <c r="J347" s="1104" t="str">
        <f>A347</f>
        <v>Stärken</v>
      </c>
      <c r="K347" s="2288"/>
      <c r="L347" s="2289"/>
      <c r="M347" s="1301"/>
      <c r="N347" s="1302"/>
      <c r="O347" s="1303"/>
      <c r="P347" s="1304"/>
      <c r="AA347" s="302" t="s">
        <v>844</v>
      </c>
      <c r="AB347" s="315" t="s">
        <v>845</v>
      </c>
      <c r="AC347" s="362" t="str">
        <f t="shared" si="51"/>
        <v>Stärken</v>
      </c>
      <c r="AD347" s="670"/>
      <c r="AE347" s="616"/>
      <c r="AF347" s="628" t="str">
        <f t="shared" ref="AF347:AF353" si="52">IF(AD347=0,"",IF($A$1="D",AD347,AE347))</f>
        <v/>
      </c>
    </row>
    <row r="348" spans="1:32" s="18" customFormat="1" ht="93" customHeight="1" thickBot="1">
      <c r="A348" s="2235" t="str">
        <f>AC348</f>
        <v>Mängel</v>
      </c>
      <c r="B348" s="2236"/>
      <c r="C348" s="2236"/>
      <c r="D348" s="2236"/>
      <c r="E348" s="2236"/>
      <c r="F348" s="2233" t="str">
        <f>IF(K348=0,"/",K348)</f>
        <v>/</v>
      </c>
      <c r="G348" s="2233"/>
      <c r="H348" s="2233"/>
      <c r="I348" s="2234"/>
      <c r="J348" s="1104" t="str">
        <f>A348</f>
        <v>Mängel</v>
      </c>
      <c r="K348" s="2288"/>
      <c r="L348" s="2289"/>
      <c r="M348" s="1301"/>
      <c r="N348" s="1302"/>
      <c r="O348" s="1303"/>
      <c r="P348" s="1304"/>
      <c r="AA348" s="302" t="s">
        <v>846</v>
      </c>
      <c r="AB348" s="315" t="s">
        <v>847</v>
      </c>
      <c r="AC348" s="362" t="str">
        <f t="shared" si="51"/>
        <v>Mängel</v>
      </c>
      <c r="AD348" s="670" t="s">
        <v>1357</v>
      </c>
      <c r="AE348" s="616" t="s">
        <v>1358</v>
      </c>
      <c r="AF348" s="628" t="str">
        <f t="shared" si="52"/>
        <v>Bitte hier drunter  abschliessende Kommentare eingeben. Erscheinen in der Zusammenfassung.</v>
      </c>
    </row>
    <row r="349" spans="1:32" s="18" customFormat="1" ht="29.25" customHeight="1">
      <c r="A349" s="2262" t="str">
        <f>AC349</f>
        <v>Vorschläge der Delegation</v>
      </c>
      <c r="B349" s="2263"/>
      <c r="C349" s="2263"/>
      <c r="D349" s="2263"/>
      <c r="E349" s="2263"/>
      <c r="F349" s="702" t="str">
        <f>AC350</f>
        <v>Zertifizierung der Station:</v>
      </c>
      <c r="G349" s="702" t="str">
        <f>IF(L349=0,AF338,IF(COUNTIF(L349:L350,Liste!G2)&gt;0,AF345,AF346))</f>
        <v>UNVOLLSTÄNDIG, bitte Spalte L ausfüllen →</v>
      </c>
      <c r="H349" s="702"/>
      <c r="I349" s="716"/>
      <c r="K349" s="1105" t="str">
        <f>AF349&amp;" (n= "&amp;'1 ANTRAG-DEMANDE'!B22&amp;")"</f>
        <v>Zertifizierung für die Anzahl der beantragten Betten (n= )</v>
      </c>
      <c r="L349" s="1272"/>
      <c r="M349" s="2280"/>
      <c r="N349" s="2265"/>
      <c r="O349" s="2265"/>
      <c r="P349" s="2266"/>
      <c r="AA349" s="459" t="s">
        <v>939</v>
      </c>
      <c r="AB349" s="460" t="s">
        <v>940</v>
      </c>
      <c r="AC349" s="362" t="str">
        <f t="shared" si="51"/>
        <v>Vorschläge der Delegation</v>
      </c>
      <c r="AD349" s="674" t="s">
        <v>2599</v>
      </c>
      <c r="AE349" s="627" t="s">
        <v>884</v>
      </c>
      <c r="AF349" s="628" t="str">
        <f t="shared" si="52"/>
        <v>Zertifizierung für die Anzahl der beantragten Betten</v>
      </c>
    </row>
    <row r="350" spans="1:32" s="18" customFormat="1" ht="28" customHeight="1">
      <c r="A350" s="703"/>
      <c r="B350" s="704"/>
      <c r="C350" s="705"/>
      <c r="D350" s="705"/>
      <c r="E350" s="706"/>
      <c r="F350" s="702" t="str">
        <f>AC351</f>
        <v xml:space="preserve">Anzahl Betten: </v>
      </c>
      <c r="G350" s="1177">
        <f>IF(L349=Liste!G2,'1 ANTRAG-DEMANDE'!B22,L351)</f>
        <v>0</v>
      </c>
      <c r="H350" s="707" t="str">
        <f>IF(L350=Liste!G2,AC352,"")</f>
        <v/>
      </c>
      <c r="I350" s="699"/>
      <c r="K350" s="1107" t="str">
        <f>AF350</f>
        <v>Falls NEIN: Zertifiaktion für andere Bettenanzahl?</v>
      </c>
      <c r="L350" s="1273"/>
      <c r="M350" s="2280"/>
      <c r="N350" s="2265"/>
      <c r="O350" s="2265"/>
      <c r="P350" s="2266"/>
      <c r="AA350" s="459" t="s">
        <v>2600</v>
      </c>
      <c r="AB350" s="460" t="s">
        <v>941</v>
      </c>
      <c r="AC350" s="362" t="str">
        <f t="shared" si="51"/>
        <v>Zertifizierung der Station:</v>
      </c>
      <c r="AD350" s="674" t="s">
        <v>953</v>
      </c>
      <c r="AE350" s="627" t="s">
        <v>954</v>
      </c>
      <c r="AF350" s="628" t="str">
        <f t="shared" si="52"/>
        <v>Falls NEIN: Zertifiaktion für andere Bettenanzahl?</v>
      </c>
    </row>
    <row r="351" spans="1:32" s="18" customFormat="1" ht="28" customHeight="1">
      <c r="A351" s="703"/>
      <c r="B351" s="704"/>
      <c r="C351" s="705"/>
      <c r="D351" s="705"/>
      <c r="E351" s="706"/>
      <c r="F351" s="702" t="str">
        <f>AC354</f>
        <v>Auflagen (obligatorisch)</v>
      </c>
      <c r="G351" s="702" t="str">
        <f>IF(L352=Liste!G2,AF339,IF('4b Visitation'!L352=Liste!G3,AF340,AF338))</f>
        <v>UNVOLLSTÄNDIG, bitte Spalte L ausfüllen →</v>
      </c>
      <c r="H351" s="708"/>
      <c r="I351" s="700"/>
      <c r="K351" s="1108" t="str">
        <f>AF351</f>
        <v>Falls andere Bettenanzahl: Zahl eintragen</v>
      </c>
      <c r="L351" s="1274"/>
      <c r="M351" s="2280"/>
      <c r="N351" s="2265"/>
      <c r="O351" s="2265"/>
      <c r="P351" s="2266"/>
      <c r="AA351" s="321" t="s">
        <v>889</v>
      </c>
      <c r="AB351" s="616" t="s">
        <v>890</v>
      </c>
      <c r="AC351" s="617" t="str">
        <f t="shared" si="51"/>
        <v xml:space="preserve">Anzahl Betten: </v>
      </c>
      <c r="AD351" s="674" t="s">
        <v>952</v>
      </c>
      <c r="AE351" s="627" t="s">
        <v>938</v>
      </c>
      <c r="AF351" s="628" t="str">
        <f t="shared" si="52"/>
        <v>Falls andere Bettenanzahl: Zahl eintragen</v>
      </c>
    </row>
    <row r="352" spans="1:32" s="18" customFormat="1" ht="28" customHeight="1" thickBot="1">
      <c r="A352" s="703"/>
      <c r="B352" s="704"/>
      <c r="C352" s="705"/>
      <c r="D352" s="705"/>
      <c r="E352" s="706"/>
      <c r="F352" s="704"/>
      <c r="G352" s="2264"/>
      <c r="H352" s="2264"/>
      <c r="I352" s="699"/>
      <c r="K352" s="1106" t="str">
        <f>AF352</f>
        <v>Auflagen (leerlassen falls Zertifizierung NEIN) ?</v>
      </c>
      <c r="L352" s="1275"/>
      <c r="M352" s="2280"/>
      <c r="N352" s="2265"/>
      <c r="O352" s="2265"/>
      <c r="P352" s="2266"/>
      <c r="AA352" s="221" t="s">
        <v>944</v>
      </c>
      <c r="AB352" s="323" t="s">
        <v>945</v>
      </c>
      <c r="AC352" s="617" t="str">
        <f t="shared" si="51"/>
        <v>(Bettenzahl anders als beantragt)</v>
      </c>
      <c r="AD352" s="754" t="s">
        <v>2601</v>
      </c>
      <c r="AE352" s="755" t="s">
        <v>955</v>
      </c>
      <c r="AF352" s="362" t="str">
        <f t="shared" si="52"/>
        <v>Auflagen (leerlassen falls Zertifizierung NEIN) ?</v>
      </c>
    </row>
    <row r="353" spans="1:32" s="18" customFormat="1" ht="93" customHeight="1" thickBot="1">
      <c r="A353" s="2235" t="str">
        <f>AC353</f>
        <v>Begründung</v>
      </c>
      <c r="B353" s="2236"/>
      <c r="C353" s="2236"/>
      <c r="D353" s="2236"/>
      <c r="E353" s="2236"/>
      <c r="F353" s="2233" t="str">
        <f>IF(K353=0,"/",K353)</f>
        <v>/</v>
      </c>
      <c r="G353" s="2233"/>
      <c r="H353" s="2233"/>
      <c r="I353" s="2234"/>
      <c r="J353" s="1104" t="str">
        <f>A353</f>
        <v>Begründung</v>
      </c>
      <c r="K353" s="2288"/>
      <c r="L353" s="2289"/>
      <c r="M353" s="1301"/>
      <c r="N353" s="1302"/>
      <c r="O353" s="1303"/>
      <c r="P353" s="1304"/>
      <c r="AA353" s="474" t="s">
        <v>885</v>
      </c>
      <c r="AB353" s="475" t="s">
        <v>886</v>
      </c>
      <c r="AC353" s="476" t="str">
        <f t="shared" ref="AC353" si="53">IF(AA353=0,"",IF($A$1="D",AA353,AB353))</f>
        <v>Begründung</v>
      </c>
      <c r="AD353" s="671" t="s">
        <v>891</v>
      </c>
      <c r="AE353" s="618" t="s">
        <v>892</v>
      </c>
      <c r="AF353" s="619" t="str">
        <f t="shared" si="52"/>
        <v>Die Experten empfehlen, die Station NICHT zu zertifieren.</v>
      </c>
    </row>
    <row r="354" spans="1:32" s="18" customFormat="1" ht="108" customHeight="1" thickBot="1">
      <c r="A354" s="2235" t="str">
        <f>AC354</f>
        <v>Auflagen (obligatorisch)</v>
      </c>
      <c r="B354" s="2236"/>
      <c r="C354" s="2236"/>
      <c r="D354" s="2236"/>
      <c r="E354" s="2236"/>
      <c r="F354" s="2233" t="str">
        <f>IF(K354=0,"/",K354)</f>
        <v>/</v>
      </c>
      <c r="G354" s="2233"/>
      <c r="H354" s="2233"/>
      <c r="I354" s="2234"/>
      <c r="J354" s="1104" t="str">
        <f>A354</f>
        <v>Auflagen (obligatorisch)</v>
      </c>
      <c r="K354" s="2288"/>
      <c r="L354" s="2289"/>
      <c r="M354" s="1301"/>
      <c r="N354" s="1302"/>
      <c r="O354" s="1303"/>
      <c r="P354" s="1304"/>
      <c r="AA354" s="474" t="s">
        <v>850</v>
      </c>
      <c r="AB354" s="475" t="s">
        <v>851</v>
      </c>
      <c r="AC354" s="476" t="str">
        <f t="shared" si="43"/>
        <v>Auflagen (obligatorisch)</v>
      </c>
      <c r="AD354" s="671" t="s">
        <v>1479</v>
      </c>
      <c r="AE354" s="618" t="s">
        <v>893</v>
      </c>
      <c r="AF354" s="619" t="str">
        <f t="shared" ref="AF354:AF361" si="54">IF(AD354=0,"",IF($A$1="D",AD354,AE354))</f>
        <v>Die Experten empfehlen, die Station mit den genannten Auflagen zu zertifizieren.</v>
      </c>
    </row>
    <row r="355" spans="1:32" s="18" customFormat="1" ht="167" customHeight="1" thickBot="1">
      <c r="A355" s="2235" t="str">
        <f>AC355</f>
        <v>Empfehlungen - Verbesserungsvorschläge</v>
      </c>
      <c r="B355" s="2236"/>
      <c r="C355" s="2236"/>
      <c r="D355" s="2236"/>
      <c r="E355" s="2236"/>
      <c r="F355" s="2233" t="str">
        <f>IF(K355=0,"/",K355)</f>
        <v>/</v>
      </c>
      <c r="G355" s="2233"/>
      <c r="H355" s="2233"/>
      <c r="I355" s="2234"/>
      <c r="J355" s="1104" t="str">
        <f>A355</f>
        <v>Empfehlungen - Verbesserungsvorschläge</v>
      </c>
      <c r="K355" s="2288"/>
      <c r="L355" s="2289"/>
      <c r="M355" s="1301"/>
      <c r="N355" s="1302"/>
      <c r="O355" s="1303"/>
      <c r="P355" s="1304"/>
      <c r="AA355" s="474" t="s">
        <v>848</v>
      </c>
      <c r="AB355" s="475" t="s">
        <v>849</v>
      </c>
      <c r="AC355" s="476" t="str">
        <f t="shared" si="43"/>
        <v>Empfehlungen - Verbesserungsvorschläge</v>
      </c>
      <c r="AD355" s="671" t="s">
        <v>1480</v>
      </c>
      <c r="AE355" s="618" t="s">
        <v>894</v>
      </c>
      <c r="AF355" s="619" t="str">
        <f t="shared" si="54"/>
        <v>Die Experten empfehlen, die Station ohne Auflagen zu zertifizieren.</v>
      </c>
    </row>
    <row r="356" spans="1:32" s="18" customFormat="1" ht="15" customHeight="1" thickBot="1">
      <c r="A356" s="249"/>
      <c r="C356" s="600"/>
      <c r="D356" s="600"/>
      <c r="E356" s="183"/>
      <c r="G356" s="27"/>
      <c r="H356" s="23"/>
      <c r="I356" s="563"/>
      <c r="J356" s="23"/>
      <c r="K356" s="145"/>
      <c r="L356" s="1247"/>
      <c r="M356" s="1301"/>
      <c r="N356" s="1302"/>
      <c r="O356" s="1303"/>
      <c r="P356" s="1304"/>
      <c r="AA356" s="474" t="s">
        <v>1587</v>
      </c>
      <c r="AB356" s="475" t="s">
        <v>1588</v>
      </c>
      <c r="AC356" s="476" t="str">
        <f t="shared" si="43"/>
        <v>Datum Abschluss des Berichts</v>
      </c>
      <c r="AD356" s="671" t="s">
        <v>1573</v>
      </c>
      <c r="AE356" s="618" t="s">
        <v>1589</v>
      </c>
      <c r="AF356" s="619" t="str">
        <f t="shared" si="54"/>
        <v>Ort Bericht (z.B. Stadt des Leaders)</v>
      </c>
    </row>
    <row r="357" spans="1:32" s="451" customFormat="1" ht="34.5" customHeight="1">
      <c r="A357" s="2237" t="str">
        <f>AC357</f>
        <v>Zusammenfassung</v>
      </c>
      <c r="B357" s="2238"/>
      <c r="C357" s="2238"/>
      <c r="D357" s="2238"/>
      <c r="E357" s="2238"/>
      <c r="F357" s="2239" t="str">
        <f>IF(L349=0,AF338,IF(G349=AF346,AF353,IF(G351=AF340,AF355,AF354)))&amp;IF(G349=AF346,"","  "&amp;AC351&amp;G350)</f>
        <v>UNVOLLSTÄNDIG, bitte Spalte L ausfüllen →  Anzahl Betten: 0</v>
      </c>
      <c r="G357" s="2239"/>
      <c r="H357" s="2239"/>
      <c r="I357" s="629"/>
      <c r="J357" s="682"/>
      <c r="K357" s="1235" t="str">
        <f>AC356</f>
        <v>Datum Abschluss des Berichts</v>
      </c>
      <c r="L357" s="1276" t="str">
        <f>AF356</f>
        <v>Ort Bericht (z.B. Stadt des Leaders)</v>
      </c>
      <c r="M357" s="1301"/>
      <c r="N357" s="1302"/>
      <c r="O357" s="1303"/>
      <c r="P357" s="1304"/>
      <c r="AA357" s="614" t="s">
        <v>832</v>
      </c>
      <c r="AB357" s="615" t="s">
        <v>888</v>
      </c>
      <c r="AC357" s="364" t="str">
        <f t="shared" si="43"/>
        <v>Zusammenfassung</v>
      </c>
      <c r="AD357" s="675" t="s">
        <v>1361</v>
      </c>
      <c r="AE357" s="625" t="s">
        <v>1362</v>
      </c>
      <c r="AF357" s="617" t="str">
        <f t="shared" si="54"/>
        <v>Das Feld hier drüber ist das letzte auszufüllende. 
Wenn alles ausgefüllt ist kann der pdf-Bericht generiert werden.</v>
      </c>
    </row>
    <row r="358" spans="1:32" s="713" customFormat="1" ht="19.5" customHeight="1">
      <c r="A358" s="709"/>
      <c r="B358" s="710"/>
      <c r="C358" s="710"/>
      <c r="D358" s="710"/>
      <c r="E358" s="710"/>
      <c r="F358" s="2298" t="str">
        <f>IF(G$349=AF$346,"",AC53&amp;": "&amp;'1 ANTRAG-DEMANDE'!B79)</f>
        <v xml:space="preserve">Ärztliche Leitung: </v>
      </c>
      <c r="G358" s="2298"/>
      <c r="H358" s="2298"/>
      <c r="I358" s="712"/>
      <c r="K358" s="2218"/>
      <c r="L358" s="2220"/>
      <c r="M358" s="1309"/>
      <c r="N358" s="1310"/>
      <c r="O358" s="1311"/>
      <c r="P358" s="1312"/>
      <c r="AA358" s="714"/>
      <c r="AB358" s="715"/>
      <c r="AC358" s="364" t="str">
        <f t="shared" si="43"/>
        <v/>
      </c>
      <c r="AD358" s="761" t="s">
        <v>2207</v>
      </c>
      <c r="AE358" s="762" t="s">
        <v>1363</v>
      </c>
      <c r="AF358" s="412" t="str">
        <f t="shared" si="54"/>
        <v>PDF: drucken mit pdf-Generator, Dateiname s.u. (kann direkt vom Blatt PROZEDUR kopiert werden).</v>
      </c>
    </row>
    <row r="359" spans="1:32" s="713" customFormat="1" ht="19.5" customHeight="1" thickBot="1">
      <c r="A359" s="709"/>
      <c r="B359" s="710"/>
      <c r="C359" s="710"/>
      <c r="D359" s="710"/>
      <c r="E359" s="710"/>
      <c r="F359" s="2298" t="str">
        <f>IF(G$349=AF$346,"",AC54&amp;": "&amp;'1 ANTRAG-DEMANDE'!B109)</f>
        <v xml:space="preserve">Leitung Pflege (Führungsverantwortung / Management): </v>
      </c>
      <c r="G359" s="2298"/>
      <c r="H359" s="2298"/>
      <c r="I359" s="712"/>
      <c r="K359" s="2219"/>
      <c r="L359" s="2221"/>
      <c r="M359" s="1309"/>
      <c r="N359" s="1310"/>
      <c r="O359" s="1311"/>
      <c r="P359" s="1312"/>
      <c r="AA359" s="714"/>
      <c r="AB359" s="715"/>
      <c r="AC359" s="364" t="str">
        <f t="shared" si="43"/>
        <v/>
      </c>
      <c r="AD359" s="761" t="s">
        <v>995</v>
      </c>
      <c r="AE359" s="762" t="s">
        <v>992</v>
      </c>
      <c r="AF359" s="412" t="str">
        <f t="shared" si="54"/>
        <v>VISITATION_Bericht_lang</v>
      </c>
    </row>
    <row r="360" spans="1:32" s="713" customFormat="1" ht="47" customHeight="1" thickBot="1">
      <c r="A360" s="1234" t="str">
        <f>IF(C9=Liste!G2,AF360,AC360&amp;K10)</f>
        <v>Dieser Bericht basiert auf dem Studium des Dossiers und der Visitation der IS vom 00.01.1900</v>
      </c>
      <c r="B360" s="710"/>
      <c r="C360" s="710"/>
      <c r="D360" s="710"/>
      <c r="E360" s="710"/>
      <c r="F360" s="711"/>
      <c r="G360" s="711"/>
      <c r="H360" s="711"/>
      <c r="I360" s="712"/>
      <c r="M360" s="1309"/>
      <c r="N360" s="1310"/>
      <c r="O360" s="1311"/>
      <c r="P360" s="1312"/>
      <c r="AA360" s="1228" t="s">
        <v>1582</v>
      </c>
      <c r="AB360" s="1233" t="s">
        <v>1581</v>
      </c>
      <c r="AC360" s="364" t="str">
        <f t="shared" si="43"/>
        <v xml:space="preserve">Dieser Bericht basiert auf dem Studium des Dossiers und der Visitation der IS vom </v>
      </c>
      <c r="AD360" s="761" t="s">
        <v>1583</v>
      </c>
      <c r="AE360" s="762" t="s">
        <v>1584</v>
      </c>
      <c r="AF360" s="412" t="str">
        <f t="shared" si="54"/>
        <v>Dieser Bericht basiert ausschliesslich auf dem Studium des Dossiers, es wurde keine Visitation der IS durchgeführt.</v>
      </c>
    </row>
    <row r="361" spans="1:32" s="18" customFormat="1" ht="28" customHeight="1">
      <c r="A361" s="2227" t="str">
        <f>L358&amp;AC362&amp;K48</f>
        <v>, den 00.01.1900</v>
      </c>
      <c r="B361" s="2228"/>
      <c r="C361" s="2228"/>
      <c r="D361" s="2228"/>
      <c r="E361" s="25"/>
      <c r="H361" s="23"/>
      <c r="I361" s="563"/>
      <c r="J361" s="23"/>
      <c r="K361" s="2212" t="str">
        <f>AF357</f>
        <v>Das Feld hier drüber ist das letzte auszufüllende. 
Wenn alles ausgefüllt ist kann der pdf-Bericht generiert werden.</v>
      </c>
      <c r="L361" s="2290"/>
      <c r="M361" s="1313"/>
      <c r="N361" s="1314"/>
      <c r="O361" s="1315"/>
      <c r="P361" s="1316"/>
      <c r="AA361" s="474" t="s">
        <v>774</v>
      </c>
      <c r="AB361" s="475" t="s">
        <v>775</v>
      </c>
      <c r="AC361" s="476" t="str">
        <f t="shared" si="43"/>
        <v xml:space="preserve">Für die Zertifizierungskomission:
  </v>
      </c>
      <c r="AD361" s="671"/>
      <c r="AE361" s="618"/>
      <c r="AF361" s="412" t="str">
        <f t="shared" si="54"/>
        <v/>
      </c>
    </row>
    <row r="362" spans="1:32" s="18" customFormat="1" ht="27" customHeight="1">
      <c r="A362" s="533" t="str">
        <f>AC361</f>
        <v xml:space="preserve">Für die Zertifizierungskomission:
  </v>
      </c>
      <c r="B362" s="534"/>
      <c r="C362" s="534"/>
      <c r="D362" s="534"/>
      <c r="E362" s="25"/>
      <c r="F362" s="1224">
        <f>C14</f>
        <v>0</v>
      </c>
      <c r="G362" s="1225">
        <f>C15</f>
        <v>0</v>
      </c>
      <c r="H362" s="1226"/>
      <c r="I362" s="1227">
        <f>C16</f>
        <v>0</v>
      </c>
      <c r="J362" s="23"/>
      <c r="K362" s="2284" t="str">
        <f>AF358</f>
        <v>PDF: drucken mit pdf-Generator, Dateiname s.u. (kann direkt vom Blatt PROZEDUR kopiert werden).</v>
      </c>
      <c r="L362" s="2285"/>
      <c r="M362" s="1313"/>
      <c r="N362" s="1314"/>
      <c r="O362" s="1315"/>
      <c r="P362" s="1316"/>
      <c r="AA362" s="302" t="s">
        <v>1579</v>
      </c>
      <c r="AB362" s="315" t="s">
        <v>1580</v>
      </c>
      <c r="AC362" s="1230" t="str">
        <f t="shared" si="43"/>
        <v xml:space="preserve">, den </v>
      </c>
      <c r="AD362" s="671"/>
      <c r="AE362" s="618"/>
      <c r="AF362" s="617" t="str">
        <f t="shared" ref="AF362:AF368" si="55">IF(AD362=0,"",IF($A$1="D",AD362,AE362))</f>
        <v/>
      </c>
    </row>
    <row r="363" spans="1:32" s="288" customFormat="1" ht="17.25" customHeight="1">
      <c r="A363" s="535"/>
      <c r="B363" s="536"/>
      <c r="C363" s="536"/>
      <c r="D363" s="536"/>
      <c r="E363" s="570"/>
      <c r="F363" s="537" t="str">
        <f>A14</f>
        <v>Experte 1</v>
      </c>
      <c r="G363" s="538" t="str">
        <f>A15</f>
        <v>Experte 2</v>
      </c>
      <c r="H363" s="570"/>
      <c r="I363" s="571" t="str">
        <f>A16</f>
        <v>Experte 3</v>
      </c>
      <c r="J363" s="23"/>
      <c r="K363" s="2284"/>
      <c r="L363" s="2285"/>
      <c r="M363" s="1313"/>
      <c r="N363" s="1314"/>
      <c r="O363" s="1315"/>
      <c r="P363" s="1316"/>
      <c r="AA363" s="302"/>
      <c r="AB363" s="315"/>
      <c r="AC363" s="362"/>
      <c r="AD363" s="671"/>
      <c r="AE363" s="618"/>
      <c r="AF363" s="617" t="str">
        <f t="shared" si="55"/>
        <v/>
      </c>
    </row>
    <row r="364" spans="1:32" ht="47" customHeight="1">
      <c r="A364" s="198"/>
      <c r="K364" s="2216" t="str">
        <f>AC364</f>
        <v>Ausdruck auf pdf: Insgesamt 12-13 Seiten. Falls Probleme im Format bitte korrigieren:  Seitenorientierung "Querformat", Skalierung "Alle Spalten auf eine Seite"</v>
      </c>
      <c r="L364" s="2217"/>
      <c r="M364" s="1313"/>
      <c r="N364" s="1314"/>
      <c r="O364" s="1315"/>
      <c r="P364" s="1316"/>
      <c r="AA364" s="221" t="s">
        <v>1692</v>
      </c>
      <c r="AB364" s="323" t="s">
        <v>1721</v>
      </c>
      <c r="AC364" s="412" t="str">
        <f t="shared" si="43"/>
        <v>Ausdruck auf pdf: Insgesamt 12-13 Seiten. Falls Probleme im Format bitte korrigieren:  Seitenorientierung "Querformat", Skalierung "Alle Spalten auf eine Seite"</v>
      </c>
      <c r="AD364" s="671"/>
      <c r="AE364" s="618"/>
      <c r="AF364" s="617" t="str">
        <f t="shared" si="55"/>
        <v/>
      </c>
    </row>
    <row r="365" spans="1:32" ht="17" thickBot="1">
      <c r="K365" s="1110"/>
      <c r="L365" s="1277" t="str">
        <f>'4a Exp-ZK'!F33</f>
        <v>___000100_01_VisitationBerichtKomplett_000100</v>
      </c>
      <c r="M365" s="1282"/>
      <c r="N365" s="594"/>
      <c r="O365" s="594"/>
      <c r="P365" s="597"/>
      <c r="AC365" s="362" t="str">
        <f t="shared" ref="AC365:AC396" si="56">IF(AA365=0,"",IF($A$1="D",AA365,AB365))</f>
        <v/>
      </c>
      <c r="AD365" s="671"/>
      <c r="AE365" s="618"/>
      <c r="AF365" s="617" t="str">
        <f t="shared" si="55"/>
        <v/>
      </c>
    </row>
    <row r="366" spans="1:32">
      <c r="C366" s="1232"/>
      <c r="K366" s="1032" t="e">
        <f>K14</f>
        <v>#N/A</v>
      </c>
      <c r="M366" s="1282"/>
      <c r="N366" s="594"/>
      <c r="O366" s="594"/>
      <c r="P366" s="597"/>
      <c r="AC366" s="362" t="str">
        <f t="shared" si="56"/>
        <v/>
      </c>
      <c r="AD366" s="671"/>
      <c r="AE366" s="618"/>
      <c r="AF366" s="617" t="str">
        <f t="shared" si="55"/>
        <v/>
      </c>
    </row>
    <row r="367" spans="1:32">
      <c r="K367" s="741" t="e">
        <f>F14</f>
        <v>#N/A</v>
      </c>
      <c r="M367" s="1282"/>
      <c r="N367" s="594"/>
      <c r="O367" s="594"/>
      <c r="P367" s="597"/>
      <c r="AC367" s="362" t="str">
        <f t="shared" si="56"/>
        <v/>
      </c>
      <c r="AD367" s="671"/>
      <c r="AE367" s="618"/>
      <c r="AF367" s="617" t="str">
        <f t="shared" si="55"/>
        <v/>
      </c>
    </row>
    <row r="368" spans="1:32">
      <c r="M368" s="1282"/>
      <c r="N368" s="594"/>
      <c r="O368" s="594"/>
      <c r="P368" s="597"/>
      <c r="AC368" s="362" t="str">
        <f t="shared" si="56"/>
        <v/>
      </c>
      <c r="AD368" s="671"/>
      <c r="AE368" s="618"/>
      <c r="AF368" s="617" t="str">
        <f t="shared" si="55"/>
        <v/>
      </c>
    </row>
    <row r="369" spans="13:29">
      <c r="M369" s="1282"/>
      <c r="N369" s="594"/>
      <c r="O369" s="594"/>
      <c r="P369" s="597"/>
      <c r="AC369" s="362" t="str">
        <f t="shared" si="56"/>
        <v/>
      </c>
    </row>
    <row r="370" spans="13:29">
      <c r="M370" s="1282"/>
      <c r="N370" s="594"/>
      <c r="O370" s="594"/>
      <c r="P370" s="597"/>
      <c r="AC370" s="362" t="str">
        <f t="shared" si="56"/>
        <v/>
      </c>
    </row>
    <row r="371" spans="13:29">
      <c r="M371" s="1282"/>
      <c r="N371" s="594"/>
      <c r="O371" s="594"/>
      <c r="P371" s="597"/>
      <c r="AC371" s="362" t="str">
        <f t="shared" si="56"/>
        <v/>
      </c>
    </row>
    <row r="372" spans="13:29">
      <c r="M372" s="1282"/>
      <c r="N372" s="594"/>
      <c r="O372" s="594"/>
      <c r="P372" s="597"/>
      <c r="AC372" s="362" t="str">
        <f t="shared" si="56"/>
        <v/>
      </c>
    </row>
    <row r="373" spans="13:29">
      <c r="M373" s="1282"/>
      <c r="N373" s="594"/>
      <c r="O373" s="594"/>
      <c r="P373" s="597"/>
      <c r="AC373" s="362" t="str">
        <f t="shared" si="56"/>
        <v/>
      </c>
    </row>
    <row r="374" spans="13:29">
      <c r="M374" s="1282"/>
      <c r="N374" s="594"/>
      <c r="O374" s="594"/>
      <c r="P374" s="597"/>
      <c r="AC374" s="362" t="str">
        <f t="shared" si="56"/>
        <v/>
      </c>
    </row>
    <row r="375" spans="13:29">
      <c r="M375" s="1282"/>
      <c r="N375" s="594"/>
      <c r="O375" s="594"/>
      <c r="P375" s="597"/>
      <c r="AC375" s="362" t="str">
        <f t="shared" si="56"/>
        <v/>
      </c>
    </row>
    <row r="376" spans="13:29">
      <c r="M376" s="1282"/>
      <c r="N376" s="594"/>
      <c r="O376" s="594"/>
      <c r="P376" s="597"/>
      <c r="AC376" s="362" t="str">
        <f t="shared" si="56"/>
        <v/>
      </c>
    </row>
    <row r="377" spans="13:29">
      <c r="M377" s="1282"/>
      <c r="N377" s="594"/>
      <c r="O377" s="594"/>
      <c r="P377" s="597"/>
      <c r="AC377" s="362" t="str">
        <f t="shared" si="56"/>
        <v/>
      </c>
    </row>
    <row r="378" spans="13:29">
      <c r="M378" s="1282"/>
      <c r="N378" s="594"/>
      <c r="O378" s="594"/>
      <c r="P378" s="597"/>
      <c r="AC378" s="362" t="str">
        <f t="shared" si="56"/>
        <v/>
      </c>
    </row>
    <row r="379" spans="13:29">
      <c r="M379" s="1282"/>
      <c r="N379" s="594"/>
      <c r="O379" s="594"/>
      <c r="P379" s="597"/>
      <c r="AC379" s="362" t="str">
        <f t="shared" si="56"/>
        <v/>
      </c>
    </row>
    <row r="380" spans="13:29">
      <c r="M380" s="1282"/>
      <c r="N380" s="594"/>
      <c r="O380" s="594"/>
      <c r="P380" s="597"/>
      <c r="AC380" s="362" t="str">
        <f t="shared" si="56"/>
        <v/>
      </c>
    </row>
    <row r="381" spans="13:29">
      <c r="AC381" s="362" t="str">
        <f t="shared" si="56"/>
        <v/>
      </c>
    </row>
    <row r="382" spans="13:29">
      <c r="AC382" s="362" t="str">
        <f t="shared" si="56"/>
        <v/>
      </c>
    </row>
    <row r="383" spans="13:29">
      <c r="AC383" s="362" t="str">
        <f t="shared" si="56"/>
        <v/>
      </c>
    </row>
    <row r="384" spans="13:29">
      <c r="AC384" s="362" t="str">
        <f t="shared" si="56"/>
        <v/>
      </c>
    </row>
    <row r="385" spans="29:29">
      <c r="AC385" s="362" t="str">
        <f t="shared" si="56"/>
        <v/>
      </c>
    </row>
    <row r="386" spans="29:29">
      <c r="AC386" s="362" t="str">
        <f t="shared" si="56"/>
        <v/>
      </c>
    </row>
    <row r="387" spans="29:29">
      <c r="AC387" s="362" t="str">
        <f t="shared" si="56"/>
        <v/>
      </c>
    </row>
    <row r="388" spans="29:29">
      <c r="AC388" s="362" t="str">
        <f t="shared" si="56"/>
        <v/>
      </c>
    </row>
    <row r="389" spans="29:29">
      <c r="AC389" s="362" t="str">
        <f t="shared" si="56"/>
        <v/>
      </c>
    </row>
    <row r="390" spans="29:29">
      <c r="AC390" s="362" t="str">
        <f t="shared" si="56"/>
        <v/>
      </c>
    </row>
    <row r="391" spans="29:29">
      <c r="AC391" s="362" t="str">
        <f t="shared" si="56"/>
        <v/>
      </c>
    </row>
    <row r="392" spans="29:29">
      <c r="AC392" s="362" t="str">
        <f t="shared" si="56"/>
        <v/>
      </c>
    </row>
    <row r="393" spans="29:29">
      <c r="AC393" s="362" t="str">
        <f t="shared" si="56"/>
        <v/>
      </c>
    </row>
    <row r="394" spans="29:29">
      <c r="AC394" s="362" t="str">
        <f t="shared" si="56"/>
        <v/>
      </c>
    </row>
    <row r="395" spans="29:29">
      <c r="AC395" s="362" t="str">
        <f t="shared" si="56"/>
        <v/>
      </c>
    </row>
    <row r="396" spans="29:29">
      <c r="AC396" s="362" t="str">
        <f t="shared" si="56"/>
        <v/>
      </c>
    </row>
  </sheetData>
  <sheetProtection algorithmName="SHA-512" hashValue="OVFCFbLxd8QVcFv6SuehFv9uMxfWTCBAR8rf4/GVbvSqoVu5LYYNiX0lPXKmIma4BBHQ7QCjm1LT7QQ7D+ULZQ==" saltValue="Q1XRjkhzejWZQvZrML+SQw==" spinCount="100000" sheet="1" selectLockedCells="1"/>
  <mergeCells count="152">
    <mergeCell ref="F358:H358"/>
    <mergeCell ref="F359:H359"/>
    <mergeCell ref="M4:M5"/>
    <mergeCell ref="N4:N5"/>
    <mergeCell ref="O4:O5"/>
    <mergeCell ref="P4:P5"/>
    <mergeCell ref="C9:E9"/>
    <mergeCell ref="C10:E10"/>
    <mergeCell ref="F11:F12"/>
    <mergeCell ref="N349:N352"/>
    <mergeCell ref="A319:D319"/>
    <mergeCell ref="A320:D320"/>
    <mergeCell ref="A321:D321"/>
    <mergeCell ref="A316:D316"/>
    <mergeCell ref="A317:D317"/>
    <mergeCell ref="A318:D318"/>
    <mergeCell ref="A323:D323"/>
    <mergeCell ref="A324:D324"/>
    <mergeCell ref="F324:I324"/>
    <mergeCell ref="F321:I321"/>
    <mergeCell ref="F322:I322"/>
    <mergeCell ref="F323:I323"/>
    <mergeCell ref="A322:D322"/>
    <mergeCell ref="F348:I348"/>
    <mergeCell ref="K362:L363"/>
    <mergeCell ref="K346:L346"/>
    <mergeCell ref="K347:L347"/>
    <mergeCell ref="K348:L348"/>
    <mergeCell ref="K353:L353"/>
    <mergeCell ref="K354:L354"/>
    <mergeCell ref="K355:L355"/>
    <mergeCell ref="K361:L361"/>
    <mergeCell ref="H48:I48"/>
    <mergeCell ref="H83:I92"/>
    <mergeCell ref="H56:I72"/>
    <mergeCell ref="H73:I81"/>
    <mergeCell ref="F49:H49"/>
    <mergeCell ref="H51:I53"/>
    <mergeCell ref="G56:G64"/>
    <mergeCell ref="L270:L272"/>
    <mergeCell ref="L262:L263"/>
    <mergeCell ref="L288:L289"/>
    <mergeCell ref="L306:L310"/>
    <mergeCell ref="F316:I316"/>
    <mergeCell ref="F317:I317"/>
    <mergeCell ref="F318:I318"/>
    <mergeCell ref="F319:I319"/>
    <mergeCell ref="F320:I320"/>
    <mergeCell ref="L235:L239"/>
    <mergeCell ref="A63:C63"/>
    <mergeCell ref="H102:I102"/>
    <mergeCell ref="D43:F43"/>
    <mergeCell ref="D34:F34"/>
    <mergeCell ref="A53:C53"/>
    <mergeCell ref="D44:F44"/>
    <mergeCell ref="A62:C62"/>
    <mergeCell ref="D35:F35"/>
    <mergeCell ref="D40:F40"/>
    <mergeCell ref="D41:F41"/>
    <mergeCell ref="A65:C65"/>
    <mergeCell ref="A51:C51"/>
    <mergeCell ref="A64:C64"/>
    <mergeCell ref="A66:C66"/>
    <mergeCell ref="D56:F61"/>
    <mergeCell ref="D45:F45"/>
    <mergeCell ref="G83:G84"/>
    <mergeCell ref="A353:E353"/>
    <mergeCell ref="A349:E349"/>
    <mergeCell ref="G352:H352"/>
    <mergeCell ref="O349:O352"/>
    <mergeCell ref="P349:P352"/>
    <mergeCell ref="C11:E11"/>
    <mergeCell ref="C12:E12"/>
    <mergeCell ref="C19:E19"/>
    <mergeCell ref="C20:E20"/>
    <mergeCell ref="C13:E13"/>
    <mergeCell ref="C27:E27"/>
    <mergeCell ref="C28:E28"/>
    <mergeCell ref="C26:E26"/>
    <mergeCell ref="L182:L188"/>
    <mergeCell ref="A69:C69"/>
    <mergeCell ref="D69:F69"/>
    <mergeCell ref="A347:E347"/>
    <mergeCell ref="P328:P339"/>
    <mergeCell ref="N328:N339"/>
    <mergeCell ref="O328:O339"/>
    <mergeCell ref="M328:M339"/>
    <mergeCell ref="L126:L130"/>
    <mergeCell ref="M349:M352"/>
    <mergeCell ref="F347:I347"/>
    <mergeCell ref="M1:P1"/>
    <mergeCell ref="F314:I314"/>
    <mergeCell ref="F315:I315"/>
    <mergeCell ref="A314:D314"/>
    <mergeCell ref="A315:D315"/>
    <mergeCell ref="L301:L303"/>
    <mergeCell ref="L291:L294"/>
    <mergeCell ref="L283:L285"/>
    <mergeCell ref="A68:C68"/>
    <mergeCell ref="A100:E100"/>
    <mergeCell ref="L208:L212"/>
    <mergeCell ref="A4:B4"/>
    <mergeCell ref="C4:D4"/>
    <mergeCell ref="D68:F68"/>
    <mergeCell ref="E7:F7"/>
    <mergeCell ref="C22:E22"/>
    <mergeCell ref="C21:E21"/>
    <mergeCell ref="D38:F38"/>
    <mergeCell ref="D39:F39"/>
    <mergeCell ref="A54:C54"/>
    <mergeCell ref="A50:C50"/>
    <mergeCell ref="D32:F32"/>
    <mergeCell ref="C24:E24"/>
    <mergeCell ref="F106:G106"/>
    <mergeCell ref="K364:L364"/>
    <mergeCell ref="K358:K359"/>
    <mergeCell ref="L358:L359"/>
    <mergeCell ref="A73:C73"/>
    <mergeCell ref="D71:E71"/>
    <mergeCell ref="D72:E72"/>
    <mergeCell ref="D73:E73"/>
    <mergeCell ref="D50:G50"/>
    <mergeCell ref="A52:C52"/>
    <mergeCell ref="A55:C55"/>
    <mergeCell ref="A72:C72"/>
    <mergeCell ref="A71:C71"/>
    <mergeCell ref="A361:D361"/>
    <mergeCell ref="A103:B103"/>
    <mergeCell ref="C103:D103"/>
    <mergeCell ref="D102:F102"/>
    <mergeCell ref="F354:I354"/>
    <mergeCell ref="F355:I355"/>
    <mergeCell ref="F353:I353"/>
    <mergeCell ref="A355:E355"/>
    <mergeCell ref="A354:E354"/>
    <mergeCell ref="A348:E348"/>
    <mergeCell ref="A357:E357"/>
    <mergeCell ref="F357:H357"/>
    <mergeCell ref="C3:D3"/>
    <mergeCell ref="B1:D1"/>
    <mergeCell ref="L4:L5"/>
    <mergeCell ref="D33:F33"/>
    <mergeCell ref="C14:E14"/>
    <mergeCell ref="C17:E17"/>
    <mergeCell ref="L1:L2"/>
    <mergeCell ref="D36:F36"/>
    <mergeCell ref="D37:F37"/>
    <mergeCell ref="F2:G2"/>
    <mergeCell ref="C16:E16"/>
    <mergeCell ref="C23:E23"/>
    <mergeCell ref="C25:E25"/>
    <mergeCell ref="C15:E15"/>
  </mergeCells>
  <phoneticPr fontId="59" type="noConversion"/>
  <conditionalFormatting sqref="A1">
    <cfRule type="containsText" dxfId="38" priority="3" operator="containsText" text="F">
      <formula>NOT(ISERROR(SEARCH("F",A1)))</formula>
    </cfRule>
  </conditionalFormatting>
  <conditionalFormatting sqref="A107:A122 A124:A253 A255:A312">
    <cfRule type="cellIs" dxfId="37" priority="13" operator="equal">
      <formula>0</formula>
    </cfRule>
  </conditionalFormatting>
  <conditionalFormatting sqref="A256">
    <cfRule type="cellIs" dxfId="36" priority="9" operator="equal">
      <formula>0</formula>
    </cfRule>
  </conditionalFormatting>
  <conditionalFormatting sqref="A337:D337">
    <cfRule type="cellIs" dxfId="35" priority="4" operator="notEqual">
      <formula>"ok"</formula>
    </cfRule>
  </conditionalFormatting>
  <conditionalFormatting sqref="B107:B122 B124:B253 B255:B312">
    <cfRule type="cellIs" dxfId="34" priority="12" operator="between">
      <formula>0</formula>
      <formula>1</formula>
    </cfRule>
  </conditionalFormatting>
  <conditionalFormatting sqref="B256">
    <cfRule type="cellIs" dxfId="33" priority="8" operator="between">
      <formula>0</formula>
      <formula>1</formula>
    </cfRule>
  </conditionalFormatting>
  <conditionalFormatting sqref="H6">
    <cfRule type="cellIs" dxfId="32" priority="2" operator="equal">
      <formula>$AF$6</formula>
    </cfRule>
  </conditionalFormatting>
  <conditionalFormatting sqref="I6">
    <cfRule type="cellIs" dxfId="31" priority="16" operator="equal">
      <formula>$AF$19</formula>
    </cfRule>
  </conditionalFormatting>
  <dataValidations count="7">
    <dataValidation type="whole" allowBlank="1" showInputMessage="1" showErrorMessage="1" sqref="I351" xr:uid="{00000000-0002-0000-0100-000000000000}">
      <formula1>6</formula1>
      <formula2>99</formula2>
    </dataValidation>
    <dataValidation type="list" allowBlank="1" showInputMessage="1" showErrorMessage="1" sqref="D311:D312" xr:uid="{00000000-0002-0000-0100-000001000000}">
      <formula1>$J$2:$J$5</formula1>
    </dataValidation>
    <dataValidation type="list" allowBlank="1" showInputMessage="1" showErrorMessage="1" sqref="C311:C312" xr:uid="{00000000-0002-0000-0100-000002000000}">
      <formula1>$J$2</formula1>
    </dataValidation>
    <dataValidation type="list" allowBlank="1" showInputMessage="1" showErrorMessage="1" sqref="I349:I350" xr:uid="{00000000-0002-0000-0100-000003000000}">
      <formula1>$L$2:$L$4</formula1>
    </dataValidation>
    <dataValidation type="whole" allowBlank="1" showInputMessage="1" showErrorMessage="1" sqref="L351" xr:uid="{00000000-0002-0000-0100-000004000000}">
      <formula1>6</formula1>
      <formula2>999</formula2>
    </dataValidation>
    <dataValidation type="time" allowBlank="1" showInputMessage="1" showErrorMessage="1" sqref="C11:E12" xr:uid="{00000000-0002-0000-0100-000005000000}">
      <formula1>0.208333333333333</formula1>
      <formula2>0.999305555555556</formula2>
    </dataValidation>
    <dataValidation type="date" allowBlank="1" showInputMessage="1" showErrorMessage="1" sqref="K358:K359" xr:uid="{00000000-0002-0000-0100-000006000000}">
      <formula1>36526</formula1>
      <formula2>54789</formula2>
    </dataValidation>
  </dataValidations>
  <pageMargins left="0.59055118110236227" right="0.39370078740157483" top="0.39370078740157483" bottom="0.59055118110236227" header="0.51181102362204722" footer="0.19685039370078741"/>
  <pageSetup paperSize="9" scale="34" fitToHeight="0" orientation="landscape" r:id="rId1"/>
  <headerFooter>
    <oddFooter>&amp;R&amp;"Calibri,Normal"&amp;K000000Visitation S. &amp;P /&amp;N</oddFooter>
  </headerFooter>
  <rowBreaks count="3" manualBreakCount="3">
    <brk id="101" max="16383" man="1"/>
    <brk id="311" max="16383" man="1"/>
    <brk id="325"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7000000}">
          <x14:formula1>
            <xm:f>Liste!$F$2:$F$3</xm:f>
          </x14:formula1>
          <xm:sqref>A1</xm:sqref>
        </x14:dataValidation>
        <x14:dataValidation type="list" allowBlank="1" showInputMessage="1" showErrorMessage="1" xr:uid="{00000000-0002-0000-0100-000008000000}">
          <x14:formula1>
            <xm:f>Liste!$E$2:$E$4</xm:f>
          </x14:formula1>
          <xm:sqref>B123 D108:D310</xm:sqref>
        </x14:dataValidation>
        <x14:dataValidation type="list" allowBlank="1" showInputMessage="1" showErrorMessage="1" xr:uid="{00000000-0002-0000-0100-000009000000}">
          <x14:formula1>
            <xm:f>Liste!$E$2:$E$3</xm:f>
          </x14:formula1>
          <xm:sqref>A123 C108:C310</xm:sqref>
        </x14:dataValidation>
        <x14:dataValidation type="list" allowBlank="1" showInputMessage="1" showErrorMessage="1" xr:uid="{00000000-0002-0000-0100-00000A000000}">
          <x14:formula1>
            <xm:f>Liste!$I$2:$I$6</xm:f>
          </x14:formula1>
          <xm:sqref>G14:G18 G8</xm:sqref>
        </x14:dataValidation>
        <x14:dataValidation type="list" allowBlank="1" showInputMessage="1" showErrorMessage="1" xr:uid="{00000000-0002-0000-0100-00000B000000}">
          <x14:formula1>
            <xm:f>Liste!$G$2:$G$3</xm:f>
          </x14:formula1>
          <xm:sqref>I352 L349:L350 L352 C9:E9</xm:sqref>
        </x14:dataValidation>
        <x14:dataValidation type="list" allowBlank="1" showInputMessage="1" showErrorMessage="1" xr:uid="{00000000-0002-0000-0100-00000C000000}">
          <x14:formula1>
            <xm:f>Liste!$AC:$AC</xm:f>
          </x14:formula1>
          <xm:sqref>C14:E17</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AE37"/>
  <sheetViews>
    <sheetView zoomScale="144" workbookViewId="0">
      <pane ySplit="3" topLeftCell="A4" activePane="bottomLeft" state="frozenSplit"/>
      <selection activeCell="B41" sqref="B41:F41"/>
      <selection pane="bottomLeft" activeCell="D3" sqref="D3:E3"/>
    </sheetView>
  </sheetViews>
  <sheetFormatPr baseColWidth="10" defaultColWidth="10.83203125" defaultRowHeight="16"/>
  <cols>
    <col min="1" max="3" width="10.83203125" style="113"/>
    <col min="4" max="4" width="37.83203125" style="108" customWidth="1"/>
    <col min="5" max="5" width="33.6640625" style="108" customWidth="1"/>
    <col min="6" max="6" width="3.6640625" style="578" customWidth="1"/>
    <col min="7" max="7" width="14.5" style="112" customWidth="1"/>
    <col min="8" max="8" width="8.83203125" style="371" customWidth="1"/>
    <col min="9" max="9" width="18.33203125" style="195" customWidth="1"/>
    <col min="10" max="10" width="22.1640625" style="23" customWidth="1"/>
    <col min="11" max="24" width="10.1640625" style="108" customWidth="1"/>
    <col min="25" max="25" width="10.83203125" style="108" customWidth="1"/>
    <col min="26" max="26" width="31.1640625" style="302" customWidth="1"/>
    <col min="27" max="27" width="31.1640625" style="315" customWidth="1"/>
    <col min="28" max="28" width="31.1640625" style="362" customWidth="1"/>
    <col min="29" max="29" width="31.1640625" style="670" customWidth="1"/>
    <col min="30" max="30" width="31.1640625" style="616" customWidth="1"/>
    <col min="31" max="31" width="18.6640625" style="617" customWidth="1"/>
    <col min="32" max="16384" width="10.83203125" style="108"/>
  </cols>
  <sheetData>
    <row r="1" spans="1:31" s="642" customFormat="1" ht="36" customHeight="1" thickBot="1">
      <c r="A1" s="1152" t="str">
        <f>'1 ANTRAG-DEMANDE'!A1</f>
        <v>D</v>
      </c>
      <c r="B1" s="2206" t="str">
        <f>AE2</f>
        <v>Pour la version française, aller dans l'onglet "ANTRAG-DEMANDE" et choisir "F"</v>
      </c>
      <c r="C1" s="2207"/>
      <c r="D1" s="2207"/>
      <c r="F1" s="641"/>
      <c r="G1" s="2315" t="str">
        <f>AB3</f>
        <v>Wird von Experten vor der Visite ausgefüllt und an die Stationsleitung geschickt.</v>
      </c>
      <c r="H1" s="2315"/>
      <c r="I1" s="2315"/>
      <c r="J1" s="2315"/>
      <c r="Z1" s="643" t="s">
        <v>761</v>
      </c>
      <c r="AA1" s="644" t="s">
        <v>762</v>
      </c>
      <c r="AB1" s="645" t="s">
        <v>773</v>
      </c>
      <c r="AC1" s="668" t="s">
        <v>763</v>
      </c>
      <c r="AD1" s="644" t="s">
        <v>764</v>
      </c>
      <c r="AE1" s="645" t="s">
        <v>772</v>
      </c>
    </row>
    <row r="2" spans="1:31" s="18" customFormat="1" ht="50.25" customHeight="1">
      <c r="A2" s="1137" t="str">
        <f>AB2</f>
        <v>Ablauf Visitation: Programm</v>
      </c>
      <c r="B2" s="1137"/>
      <c r="C2" s="1135"/>
      <c r="D2" s="1412"/>
      <c r="E2" s="1412"/>
      <c r="F2" s="1123"/>
      <c r="G2" s="2316" t="str">
        <f>AE13</f>
        <v>Ausdruck auf pdf: 1 Seite. Falls Format falsch: bitte Orientierung "Breitkant" wählen, und Skalierung "1 Seite"</v>
      </c>
      <c r="H2" s="2316"/>
      <c r="I2" s="2316"/>
      <c r="J2" s="2316"/>
      <c r="Z2" s="626" t="s">
        <v>1678</v>
      </c>
      <c r="AA2" s="627" t="s">
        <v>1679</v>
      </c>
      <c r="AB2" s="362" t="str">
        <f t="shared" ref="AB2" si="0">IF(Z2=0,"",IF($A$1="D",Z2,AA2))</f>
        <v>Ablauf Visitation: Programm</v>
      </c>
      <c r="AC2" s="669" t="str">
        <f>'2 Autodeklaration'!Q2</f>
        <v>Pour la version française, aller dans l'onglet "ANTRAG-DEMANDE" et choisir "F"</v>
      </c>
      <c r="AD2" s="669" t="str">
        <f>'2 Autodeklaration'!R2</f>
        <v>Zur Änderung auf Deutsch: ins Datenblatt "Antrag-Demande" gehen und "D" wählen</v>
      </c>
      <c r="AE2" s="362" t="str">
        <f>IF(AC2=0,"",IF($A$1="D",AC2,AD2))</f>
        <v>Pour la version française, aller dans l'onglet "ANTRAG-DEMANDE" et choisir "F"</v>
      </c>
    </row>
    <row r="3" spans="1:31" s="1133" customFormat="1" ht="28.5" customHeight="1" thickBot="1">
      <c r="A3" s="1098"/>
      <c r="B3" s="1098"/>
      <c r="C3" s="1098"/>
      <c r="D3" s="2204"/>
      <c r="E3" s="2205"/>
      <c r="F3" s="1167" t="s">
        <v>887</v>
      </c>
      <c r="G3" s="1411" t="str">
        <f>AE3</f>
        <v>Zum Anfang, bitte das blaue Feld links anklicken, dann per TABULATOR weiter.</v>
      </c>
      <c r="H3" s="646"/>
      <c r="I3" s="1169"/>
      <c r="J3" s="591"/>
      <c r="Z3" s="626" t="s">
        <v>1680</v>
      </c>
      <c r="AA3" s="627" t="s">
        <v>1681</v>
      </c>
      <c r="AB3" s="362" t="str">
        <f>IF(Z3=0,"",IF($A$1="D",Z3,AA3))</f>
        <v>Wird von Experten vor der Visite ausgefüllt und an die Stationsleitung geschickt.</v>
      </c>
      <c r="AC3" s="669" t="str">
        <f>'1 ANTRAG-DEMANDE'!AD2</f>
        <v>Zum Anfang, bitte das blaue Feld links anklicken, dann per TABULATOR weiter.</v>
      </c>
      <c r="AD3" s="669" t="str">
        <f>'1 ANTRAG-DEMANDE'!AE2</f>
        <v>Au début, veuillez cliquer sur le champ bleu à gauche, puis continuez par TABULATEUR.</v>
      </c>
      <c r="AE3" s="362" t="str">
        <f>IF(AC3=0,"",IF($A$1="D",AC3,AD3))</f>
        <v>Zum Anfang, bitte das blaue Feld links anklicken, dann per TABULATOR weiter.</v>
      </c>
    </row>
    <row r="4" spans="1:31" s="20" customFormat="1" ht="17" customHeight="1">
      <c r="A4" s="304"/>
      <c r="B4" s="304"/>
      <c r="D4" s="444"/>
      <c r="E4" s="444"/>
      <c r="F4" s="592"/>
      <c r="G4" s="444"/>
      <c r="H4" s="370"/>
      <c r="I4" s="759"/>
      <c r="J4" s="183"/>
      <c r="Z4" s="302"/>
      <c r="AA4" s="315"/>
      <c r="AB4" s="362"/>
      <c r="AC4" s="302"/>
      <c r="AD4" s="315"/>
      <c r="AE4" s="362"/>
    </row>
    <row r="5" spans="1:31" s="20" customFormat="1" ht="28" customHeight="1">
      <c r="A5" s="303" t="str">
        <f>AB5</f>
        <v>Datum Visitation</v>
      </c>
      <c r="B5" s="303"/>
      <c r="D5" s="2321">
        <f>'4b Visitation'!C10</f>
        <v>0</v>
      </c>
      <c r="E5" s="2321"/>
      <c r="F5" s="2321"/>
      <c r="G5" s="20" t="str">
        <f>AE5</f>
        <v>dd.mm.yyyy</v>
      </c>
      <c r="I5" s="143"/>
      <c r="J5" s="183"/>
      <c r="M5" s="2155" t="str">
        <f>AB8</f>
        <v>Daten werden übernommen: bitte zuerst im Reiter 4b Visitation eingeben !</v>
      </c>
      <c r="Z5" s="302" t="s">
        <v>1586</v>
      </c>
      <c r="AA5" s="315" t="s">
        <v>780</v>
      </c>
      <c r="AB5" s="362" t="str">
        <f t="shared" ref="AB5:AB12" si="1">IF(Z5=0,"",IF($A$1="D",Z5,AA5))</f>
        <v>Datum Visitation</v>
      </c>
      <c r="AC5" s="302" t="s">
        <v>813</v>
      </c>
      <c r="AD5" s="315" t="s">
        <v>1541</v>
      </c>
      <c r="AE5" s="362" t="str">
        <f>IF(AC5=0,"",IF($A$1="D",AC5,AD5))</f>
        <v>dd.mm.yyyy</v>
      </c>
    </row>
    <row r="6" spans="1:31" s="20" customFormat="1" ht="28" customHeight="1">
      <c r="A6" s="303" t="str">
        <f>AB6</f>
        <v>Beginn der Visitation</v>
      </c>
      <c r="B6" s="303"/>
      <c r="D6" s="2322">
        <f>'4b Visitation'!C11</f>
        <v>0</v>
      </c>
      <c r="E6" s="2322"/>
      <c r="F6" s="2322"/>
      <c r="G6" s="20" t="str">
        <f>AE6</f>
        <v>hh:mm</v>
      </c>
      <c r="H6" s="371"/>
      <c r="I6" s="371"/>
      <c r="J6" s="183"/>
      <c r="M6" s="2124" t="s">
        <v>1422</v>
      </c>
      <c r="Z6" s="302" t="s">
        <v>824</v>
      </c>
      <c r="AA6" s="315" t="s">
        <v>825</v>
      </c>
      <c r="AB6" s="362" t="str">
        <f t="shared" si="1"/>
        <v>Beginn der Visitation</v>
      </c>
      <c r="AC6" s="321" t="s">
        <v>1576</v>
      </c>
      <c r="AD6" s="322" t="s">
        <v>1576</v>
      </c>
      <c r="AE6" s="362" t="str">
        <f>IF(AC6=0,"",IF($A$1="D",AC6,AD6))</f>
        <v>hh:mm</v>
      </c>
    </row>
    <row r="7" spans="1:31" s="20" customFormat="1" ht="20.25" customHeight="1">
      <c r="A7" s="303"/>
      <c r="B7" s="303"/>
      <c r="D7" s="1406"/>
      <c r="E7" s="1406"/>
      <c r="F7" s="1406"/>
      <c r="G7" s="451"/>
      <c r="H7" s="371"/>
      <c r="I7" s="371"/>
      <c r="J7" s="183"/>
      <c r="Z7" s="302" t="s">
        <v>1671</v>
      </c>
      <c r="AA7" s="315" t="s">
        <v>1700</v>
      </c>
      <c r="AB7" s="362" t="str">
        <f t="shared" si="1"/>
        <v>Visitationsteam</v>
      </c>
      <c r="AC7" s="321" t="s">
        <v>1672</v>
      </c>
      <c r="AD7" s="322" t="s">
        <v>1718</v>
      </c>
      <c r="AE7" s="362" t="str">
        <f>IF(AC7=0,"",IF($A$1="D",AC7,AD7))</f>
        <v>Beliebige Person der Station</v>
      </c>
    </row>
    <row r="8" spans="1:31" s="20" customFormat="1" ht="28" customHeight="1">
      <c r="A8" s="303" t="s">
        <v>2495</v>
      </c>
      <c r="B8" s="303"/>
      <c r="D8" s="2167" t="e">
        <f>'4d Report'!B21</f>
        <v>#N/A</v>
      </c>
      <c r="E8" s="2120"/>
      <c r="F8" s="2120"/>
      <c r="G8" s="2121"/>
      <c r="H8" s="2122"/>
      <c r="I8" s="2122"/>
      <c r="J8" s="2123"/>
      <c r="M8" s="2124" t="s">
        <v>1422</v>
      </c>
      <c r="Z8" s="302" t="s">
        <v>2498</v>
      </c>
      <c r="AA8" s="315" t="s">
        <v>2537</v>
      </c>
      <c r="AB8" s="362" t="str">
        <f t="shared" si="1"/>
        <v>Daten werden übernommen: bitte zuerst im Reiter 4b Visitation eingeben !</v>
      </c>
      <c r="AC8" s="321"/>
      <c r="AD8" s="322"/>
      <c r="AE8" s="362"/>
    </row>
    <row r="9" spans="1:31" s="20" customFormat="1" ht="28" customHeight="1">
      <c r="A9" s="303" t="s">
        <v>2496</v>
      </c>
      <c r="B9" s="303"/>
      <c r="D9" s="2167" t="e">
        <f>'4d Report'!B22</f>
        <v>#N/A</v>
      </c>
      <c r="E9" s="2120"/>
      <c r="F9" s="2120"/>
      <c r="G9" s="2121"/>
      <c r="H9" s="2122"/>
      <c r="I9" s="2122"/>
      <c r="J9" s="2123"/>
      <c r="M9" s="2124" t="s">
        <v>1422</v>
      </c>
      <c r="Z9" s="302"/>
      <c r="AA9" s="315"/>
      <c r="AB9" s="362"/>
      <c r="AC9" s="321"/>
      <c r="AD9" s="322"/>
      <c r="AE9" s="362"/>
    </row>
    <row r="10" spans="1:31" s="20" customFormat="1" ht="28" customHeight="1">
      <c r="A10" s="303" t="s">
        <v>2497</v>
      </c>
      <c r="B10" s="303"/>
      <c r="D10" s="2167" t="e">
        <f>'4d Report'!B23</f>
        <v>#N/A</v>
      </c>
      <c r="E10" s="2120"/>
      <c r="F10" s="2120"/>
      <c r="G10" s="2121"/>
      <c r="H10" s="2122"/>
      <c r="I10" s="2122"/>
      <c r="J10" s="2123"/>
      <c r="M10" s="2124" t="s">
        <v>1422</v>
      </c>
      <c r="Z10" s="302"/>
      <c r="AA10" s="315"/>
      <c r="AB10" s="362"/>
      <c r="AC10" s="321"/>
      <c r="AD10" s="322"/>
      <c r="AE10" s="362"/>
    </row>
    <row r="11" spans="1:31" s="20" customFormat="1" ht="28" customHeight="1">
      <c r="A11" s="303"/>
      <c r="B11" s="303"/>
      <c r="D11" s="1406"/>
      <c r="E11" s="1406"/>
      <c r="F11" s="1406"/>
      <c r="G11" s="451"/>
      <c r="H11" s="371"/>
      <c r="I11" s="371"/>
      <c r="J11" s="183"/>
      <c r="Z11" s="302"/>
      <c r="AA11" s="315"/>
      <c r="AB11" s="362"/>
      <c r="AC11" s="321"/>
      <c r="AD11" s="322"/>
      <c r="AE11" s="362"/>
    </row>
    <row r="12" spans="1:31" ht="88.5" customHeight="1">
      <c r="G12" s="2291"/>
      <c r="H12" s="2291"/>
      <c r="I12" s="2291"/>
      <c r="J12" s="2291"/>
      <c r="Z12" s="302" t="s">
        <v>1687</v>
      </c>
      <c r="AA12" s="315" t="s">
        <v>1701</v>
      </c>
      <c r="AB12" s="362" t="str">
        <f t="shared" si="1"/>
        <v>Delegation Station 
(ärztliche und pflegerische Leitung; weitere nach Bedarf)</v>
      </c>
      <c r="AC12" s="321" t="s">
        <v>1688</v>
      </c>
      <c r="AD12" s="322" t="s">
        <v>1715</v>
      </c>
      <c r="AE12" s="362" t="str">
        <f t="shared" ref="AE12" si="2">IF(AC12=0,"",IF($A$1="D",AC12,AD12))</f>
        <v>Spitalleitung 
(z.B. Generaldirektion, medizinische Direktion, Direktion Pflege)</v>
      </c>
    </row>
    <row r="13" spans="1:31" s="160" customFormat="1" ht="43.5" customHeight="1">
      <c r="A13" s="1400"/>
      <c r="B13" s="1400"/>
      <c r="C13" s="455" t="str">
        <f>'1 ANTRAG-DEMANDE'!B15&amp;",  "&amp;'1 ANTRAG-DEMANDE'!B13&amp;", "&amp;'1 ANTRAG-DEMANDE'!B12&amp;", "&amp;'1 ANTRAG-DEMANDE'!B11</f>
        <v xml:space="preserve">,  , , </v>
      </c>
      <c r="F13" s="182"/>
      <c r="G13" s="1401"/>
      <c r="H13" s="1401"/>
      <c r="I13" s="1401"/>
      <c r="J13" s="1401"/>
      <c r="Z13" s="486"/>
      <c r="AA13" s="487"/>
      <c r="AB13" s="362" t="str">
        <f t="shared" ref="AB13:AB26" si="3">IF(Z13=0,"",IF($A$1="D",Z13,AA13))</f>
        <v/>
      </c>
      <c r="AC13" s="321" t="s">
        <v>1689</v>
      </c>
      <c r="AD13" s="322" t="s">
        <v>1716</v>
      </c>
      <c r="AE13" s="362" t="str">
        <f>IF(AC13=0,"",IF($A$1="D",AC13,AD13))</f>
        <v>Ausdruck auf pdf: 1 Seite. Falls Format falsch: bitte Orientierung "Breitkant" wählen, und Skalierung "1 Seite"</v>
      </c>
    </row>
    <row r="14" spans="1:31" s="183" customFormat="1" ht="36.75" customHeight="1">
      <c r="A14" s="484"/>
      <c r="B14" s="484"/>
      <c r="C14" s="2320" t="str">
        <f>AB14</f>
        <v>Ablauf der Visitation geplant am:</v>
      </c>
      <c r="D14" s="2320"/>
      <c r="E14" s="2136">
        <f>D5</f>
        <v>0</v>
      </c>
      <c r="F14" s="454"/>
      <c r="G14" s="1401" t="str">
        <f>AE14</f>
        <v>Beginn:</v>
      </c>
      <c r="H14" s="1404">
        <f>D6</f>
        <v>0</v>
      </c>
      <c r="I14" s="1397"/>
      <c r="Z14" s="302" t="s">
        <v>1677</v>
      </c>
      <c r="AA14" s="315" t="s">
        <v>1702</v>
      </c>
      <c r="AB14" s="362" t="str">
        <f t="shared" si="3"/>
        <v>Ablauf der Visitation geplant am:</v>
      </c>
      <c r="AC14" s="670" t="s">
        <v>1676</v>
      </c>
      <c r="AD14" s="2135" t="s">
        <v>2503</v>
      </c>
      <c r="AE14" s="362" t="str">
        <f>IF(AC14=0,"",IF($A$1="D",AC14,AD14))</f>
        <v>Beginn:</v>
      </c>
    </row>
    <row r="15" spans="1:31" s="23" customFormat="1" ht="36.75" customHeight="1">
      <c r="A15" s="189"/>
      <c r="B15" s="189"/>
      <c r="C15" s="606" t="str">
        <f>AB15</f>
        <v>Für diese Visitation sind folgende Experten geplant:</v>
      </c>
      <c r="D15" s="680"/>
      <c r="E15" s="2107"/>
      <c r="F15" s="2108"/>
      <c r="G15" s="2109"/>
      <c r="H15" s="2110"/>
      <c r="I15" s="2111"/>
      <c r="Z15" s="302" t="s">
        <v>2539</v>
      </c>
      <c r="AA15" s="315" t="s">
        <v>2538</v>
      </c>
      <c r="AB15" s="362" t="str">
        <f t="shared" si="3"/>
        <v>Für diese Visitation sind folgende Experten geplant:</v>
      </c>
      <c r="AC15" s="670"/>
      <c r="AD15" s="616"/>
      <c r="AE15" s="362"/>
    </row>
    <row r="16" spans="1:31" s="183" customFormat="1" ht="26.25" customHeight="1">
      <c r="A16" s="181"/>
      <c r="B16" s="181"/>
      <c r="C16" s="2119" t="e">
        <f>D8</f>
        <v>#N/A</v>
      </c>
      <c r="D16" s="2112"/>
      <c r="E16" s="2113"/>
      <c r="F16" s="2114"/>
      <c r="G16" s="2115"/>
      <c r="H16" s="2116"/>
      <c r="I16" s="2117"/>
      <c r="Z16" s="302"/>
      <c r="AA16" s="315"/>
      <c r="AB16" s="362"/>
      <c r="AC16" s="1402"/>
      <c r="AD16" s="2118"/>
      <c r="AE16" s="362"/>
    </row>
    <row r="17" spans="1:31" s="183" customFormat="1" ht="26.25" customHeight="1">
      <c r="A17" s="181"/>
      <c r="B17" s="181"/>
      <c r="C17" s="2119" t="e">
        <f t="shared" ref="C17:C18" si="4">D9</f>
        <v>#N/A</v>
      </c>
      <c r="D17" s="2112"/>
      <c r="E17" s="2113"/>
      <c r="F17" s="2114"/>
      <c r="G17" s="2115"/>
      <c r="H17" s="2116"/>
      <c r="I17" s="2117"/>
      <c r="Z17" s="302"/>
      <c r="AA17" s="315"/>
      <c r="AB17" s="362"/>
      <c r="AC17" s="1402"/>
      <c r="AD17" s="2118"/>
      <c r="AE17" s="362"/>
    </row>
    <row r="18" spans="1:31" s="183" customFormat="1" ht="26.25" customHeight="1">
      <c r="A18" s="181"/>
      <c r="B18" s="181"/>
      <c r="C18" s="2119" t="e">
        <f t="shared" si="4"/>
        <v>#N/A</v>
      </c>
      <c r="D18" s="2112"/>
      <c r="E18" s="2113"/>
      <c r="F18" s="2114"/>
      <c r="G18" s="2115"/>
      <c r="H18" s="2116"/>
      <c r="I18" s="2117"/>
      <c r="Z18" s="302"/>
      <c r="AA18" s="315"/>
      <c r="AB18" s="362"/>
      <c r="AC18" s="1402"/>
      <c r="AD18" s="2118"/>
      <c r="AE18" s="362"/>
    </row>
    <row r="19" spans="1:31" s="183" customFormat="1" ht="36.75" customHeight="1">
      <c r="A19" s="484"/>
      <c r="B19" s="484"/>
      <c r="C19" s="2063"/>
      <c r="D19" s="2063"/>
      <c r="E19" s="2064"/>
      <c r="F19" s="2065"/>
      <c r="G19" s="1401"/>
      <c r="H19" s="1404"/>
      <c r="I19" s="1397"/>
      <c r="Z19" s="302"/>
      <c r="AA19" s="315"/>
      <c r="AB19" s="362"/>
      <c r="AC19" s="1402" t="s">
        <v>1660</v>
      </c>
      <c r="AD19" s="1403" t="s">
        <v>1685</v>
      </c>
      <c r="AE19" s="362" t="str">
        <f>IF(AC19=0,"",IF($A$1="D",AC19,AD19))</f>
        <v>Uhrzeit</v>
      </c>
    </row>
    <row r="20" spans="1:31" s="20" customFormat="1" ht="21" customHeight="1">
      <c r="A20" s="480"/>
      <c r="B20" s="480"/>
      <c r="C20" s="2323" t="str">
        <f>AB20</f>
        <v>Das Programm kann nach Bedarf im Laufe der Visitation angepasst werden.</v>
      </c>
      <c r="D20" s="2323"/>
      <c r="E20" s="2323"/>
      <c r="F20" s="2323"/>
      <c r="G20" s="1395"/>
      <c r="H20" s="1396"/>
      <c r="I20" s="1396"/>
      <c r="J20" s="183"/>
      <c r="Z20" s="302" t="s">
        <v>1684</v>
      </c>
      <c r="AA20" s="315" t="s">
        <v>1703</v>
      </c>
      <c r="AB20" s="362" t="str">
        <f t="shared" si="3"/>
        <v>Das Programm kann nach Bedarf im Laufe der Visitation angepasst werden.</v>
      </c>
      <c r="AC20" s="1402" t="s">
        <v>1662</v>
      </c>
      <c r="AD20" s="1403" t="s">
        <v>1686</v>
      </c>
      <c r="AE20" s="362" t="str">
        <f t="shared" ref="AE20:AE34" si="5">IF(AC20=0,"",IF($A$1="D",AC20,AD20))</f>
        <v>Tätigkeit</v>
      </c>
    </row>
    <row r="21" spans="1:31" s="20" customFormat="1" ht="23.25" customHeight="1" thickBot="1">
      <c r="A21" s="480"/>
      <c r="B21" s="480"/>
      <c r="C21" s="2319"/>
      <c r="D21" s="2319"/>
      <c r="E21" s="2319"/>
      <c r="F21" s="1406"/>
      <c r="G21" s="451"/>
      <c r="H21" s="371"/>
      <c r="I21" s="371"/>
      <c r="J21" s="183"/>
      <c r="Z21" s="302" t="s">
        <v>1693</v>
      </c>
      <c r="AA21" s="315" t="s">
        <v>1704</v>
      </c>
      <c r="AB21" s="362" t="str">
        <f t="shared" si="3"/>
        <v>Zeitbedarf Min. (Richtwerte ZK)</v>
      </c>
      <c r="AC21" s="1402"/>
      <c r="AD21" s="1403"/>
      <c r="AE21" s="362" t="str">
        <f t="shared" si="5"/>
        <v/>
      </c>
    </row>
    <row r="22" spans="1:31" s="530" customFormat="1" ht="51.75" customHeight="1">
      <c r="A22" s="2313" t="str">
        <f>AB21</f>
        <v>Zeitbedarf Min. (Richtwerte ZK)</v>
      </c>
      <c r="B22" s="2324" t="str">
        <f>AB22</f>
        <v>Zeitbedarf in Min. (Schätzung durch das Team)</v>
      </c>
      <c r="C22" s="1398"/>
      <c r="D22" s="1405"/>
      <c r="E22" s="1405"/>
      <c r="F22" s="1399"/>
      <c r="G22" s="2317" t="str">
        <f>AE22</f>
        <v>Teilnehmer</v>
      </c>
      <c r="H22" s="2317"/>
      <c r="I22" s="2317"/>
      <c r="J22" s="2318"/>
      <c r="Z22" s="302" t="s">
        <v>1694</v>
      </c>
      <c r="AA22" s="315" t="s">
        <v>1705</v>
      </c>
      <c r="AB22" s="362" t="str">
        <f t="shared" si="3"/>
        <v>Zeitbedarf in Min. (Schätzung durch das Team)</v>
      </c>
      <c r="AC22" s="671" t="s">
        <v>781</v>
      </c>
      <c r="AD22" s="313" t="s">
        <v>1683</v>
      </c>
      <c r="AE22" s="362" t="str">
        <f t="shared" si="5"/>
        <v>Teilnehmer</v>
      </c>
    </row>
    <row r="23" spans="1:31" s="20" customFormat="1" ht="66.75" customHeight="1" thickBot="1">
      <c r="A23" s="2314"/>
      <c r="B23" s="2325"/>
      <c r="C23" s="1389" t="str">
        <f>AE19</f>
        <v>Uhrzeit</v>
      </c>
      <c r="D23" s="1391" t="str">
        <f>AE20</f>
        <v>Tätigkeit</v>
      </c>
      <c r="E23" s="1391" t="str">
        <f>AE23</f>
        <v>Ort</v>
      </c>
      <c r="F23" s="1392"/>
      <c r="G23" s="1390" t="str">
        <f>AB7</f>
        <v>Visitationsteam</v>
      </c>
      <c r="H23" s="1393" t="str">
        <f>AE7</f>
        <v>Beliebige Person der Station</v>
      </c>
      <c r="I23" s="1390" t="str">
        <f>AB12</f>
        <v>Delegation Station 
(ärztliche und pflegerische Leitung; weitere nach Bedarf)</v>
      </c>
      <c r="J23" s="1394" t="str">
        <f>AE12</f>
        <v>Spitalleitung 
(z.B. Generaldirektion, medizinische Direktion, Direktion Pflege)</v>
      </c>
      <c r="Z23" s="302" t="s">
        <v>1662</v>
      </c>
      <c r="AA23" s="315" t="s">
        <v>1686</v>
      </c>
      <c r="AB23" s="362" t="str">
        <f t="shared" si="3"/>
        <v>Tätigkeit</v>
      </c>
      <c r="AC23" s="671" t="s">
        <v>1674</v>
      </c>
      <c r="AD23" s="313" t="s">
        <v>1682</v>
      </c>
      <c r="AE23" s="362" t="str">
        <f t="shared" si="5"/>
        <v>Ort</v>
      </c>
    </row>
    <row r="24" spans="1:31" s="20" customFormat="1" ht="43.5" customHeight="1">
      <c r="A24" s="1418">
        <v>10</v>
      </c>
      <c r="B24" s="1419">
        <f>A24</f>
        <v>10</v>
      </c>
      <c r="C24" s="1384">
        <f>D6</f>
        <v>0</v>
      </c>
      <c r="D24" s="1385" t="str">
        <f>AB24</f>
        <v>Eintreffen im Spital</v>
      </c>
      <c r="E24" s="1386" t="str">
        <f t="shared" ref="E24" si="6">AE24</f>
        <v>Eingang Spital</v>
      </c>
      <c r="F24" s="1387"/>
      <c r="G24" s="1388" t="s">
        <v>789</v>
      </c>
      <c r="H24" s="1407" t="s">
        <v>789</v>
      </c>
      <c r="I24" s="1407"/>
      <c r="J24" s="1408"/>
      <c r="Z24" s="302" t="s">
        <v>1661</v>
      </c>
      <c r="AA24" s="315" t="s">
        <v>1706</v>
      </c>
      <c r="AB24" s="362" t="str">
        <f t="shared" si="3"/>
        <v>Eintreffen im Spital</v>
      </c>
      <c r="AC24" s="671" t="s">
        <v>1675</v>
      </c>
      <c r="AD24" s="313" t="s">
        <v>1717</v>
      </c>
      <c r="AE24" s="362" t="str">
        <f t="shared" si="5"/>
        <v>Eingang Spital</v>
      </c>
    </row>
    <row r="25" spans="1:31" s="20" customFormat="1" ht="43.5" customHeight="1">
      <c r="A25" s="1420">
        <v>30</v>
      </c>
      <c r="B25" s="1421">
        <f t="shared" ref="B25:B32" si="7">A25</f>
        <v>30</v>
      </c>
      <c r="C25" s="1373">
        <f t="shared" ref="C25:C33" si="8">C24+B24/24/60</f>
        <v>6.9444444444444449E-3</v>
      </c>
      <c r="D25" s="1374" t="str">
        <f t="shared" ref="D25:D33" si="9">AB25</f>
        <v>Interne Vorbesprechung innerhalb VT</v>
      </c>
      <c r="E25" s="1375" t="str">
        <f>$AE$25</f>
        <v>Besprechungsraum</v>
      </c>
      <c r="F25" s="1376"/>
      <c r="G25" s="1377" t="s">
        <v>789</v>
      </c>
      <c r="H25" s="1409"/>
      <c r="I25" s="1409"/>
      <c r="J25" s="1410"/>
      <c r="Z25" s="302" t="s">
        <v>1663</v>
      </c>
      <c r="AA25" s="315" t="s">
        <v>1707</v>
      </c>
      <c r="AB25" s="362" t="str">
        <f t="shared" si="3"/>
        <v>Interne Vorbesprechung innerhalb VT</v>
      </c>
      <c r="AC25" s="1402" t="s">
        <v>61</v>
      </c>
      <c r="AD25" s="325" t="s">
        <v>530</v>
      </c>
      <c r="AE25" s="364" t="str">
        <f t="shared" si="5"/>
        <v>Besprechungsraum</v>
      </c>
    </row>
    <row r="26" spans="1:31" s="20" customFormat="1" ht="43.5" customHeight="1">
      <c r="A26" s="1420">
        <v>10</v>
      </c>
      <c r="B26" s="1421">
        <f t="shared" si="7"/>
        <v>10</v>
      </c>
      <c r="C26" s="1373">
        <f t="shared" si="8"/>
        <v>2.7777777777777776E-2</v>
      </c>
      <c r="D26" s="1374" t="str">
        <f t="shared" si="9"/>
        <v>Begrüssung</v>
      </c>
      <c r="E26" s="1375" t="str">
        <f t="shared" ref="E26:E32" si="10">$AE$25</f>
        <v>Besprechungsraum</v>
      </c>
      <c r="F26" s="1376"/>
      <c r="G26" s="1377" t="s">
        <v>789</v>
      </c>
      <c r="H26" s="1409"/>
      <c r="I26" s="1409" t="s">
        <v>789</v>
      </c>
      <c r="J26" s="1410" t="s">
        <v>789</v>
      </c>
      <c r="Z26" s="302" t="s">
        <v>1664</v>
      </c>
      <c r="AA26" s="315" t="s">
        <v>1708</v>
      </c>
      <c r="AB26" s="362" t="str">
        <f t="shared" si="3"/>
        <v>Begrüssung</v>
      </c>
      <c r="AC26" s="670"/>
      <c r="AD26" s="313"/>
      <c r="AE26" s="362" t="str">
        <f t="shared" si="5"/>
        <v/>
      </c>
    </row>
    <row r="27" spans="1:31" s="20" customFormat="1" ht="43.5" customHeight="1">
      <c r="A27" s="1420">
        <v>20</v>
      </c>
      <c r="B27" s="1421">
        <f t="shared" si="7"/>
        <v>20</v>
      </c>
      <c r="C27" s="1373">
        <f t="shared" si="8"/>
        <v>3.4722222222222224E-2</v>
      </c>
      <c r="D27" s="1374" t="str">
        <f t="shared" si="9"/>
        <v>Ziel, Zweck und Ablauf der Visitation
Zertifizierungsprozess (inkl. Fragen)</v>
      </c>
      <c r="E27" s="1375" t="str">
        <f t="shared" si="10"/>
        <v>Besprechungsraum</v>
      </c>
      <c r="F27" s="1376"/>
      <c r="G27" s="1377" t="s">
        <v>789</v>
      </c>
      <c r="H27" s="1409"/>
      <c r="I27" s="1409" t="s">
        <v>789</v>
      </c>
      <c r="J27" s="1410" t="s">
        <v>1673</v>
      </c>
      <c r="Z27" s="302" t="s">
        <v>1665</v>
      </c>
      <c r="AA27" s="315" t="s">
        <v>1709</v>
      </c>
      <c r="AB27" s="362" t="str">
        <f t="shared" ref="AB27:AB37" si="11">IF(Z27=0,"",IF($A$1="D",Z27,AA27))</f>
        <v>Ziel, Zweck und Ablauf der Visitation
Zertifizierungsprozess (inkl. Fragen)</v>
      </c>
      <c r="AC27" s="670"/>
      <c r="AD27" s="313"/>
      <c r="AE27" s="362" t="str">
        <f t="shared" si="5"/>
        <v/>
      </c>
    </row>
    <row r="28" spans="1:31" s="20" customFormat="1" ht="43.5" customHeight="1">
      <c r="A28" s="1420">
        <v>20</v>
      </c>
      <c r="B28" s="1421">
        <f t="shared" si="7"/>
        <v>20</v>
      </c>
      <c r="C28" s="1373">
        <f t="shared" si="8"/>
        <v>4.8611111111111112E-2</v>
      </c>
      <c r="D28" s="1374" t="str">
        <f t="shared" si="9"/>
        <v>Kurzvorstellung durch die Station (DS)</v>
      </c>
      <c r="E28" s="1375" t="str">
        <f t="shared" si="10"/>
        <v>Besprechungsraum</v>
      </c>
      <c r="F28" s="1376"/>
      <c r="G28" s="1377" t="s">
        <v>789</v>
      </c>
      <c r="H28" s="1409"/>
      <c r="I28" s="1409" t="s">
        <v>789</v>
      </c>
      <c r="J28" s="1410"/>
      <c r="Z28" s="302" t="s">
        <v>1666</v>
      </c>
      <c r="AA28" s="315" t="s">
        <v>1710</v>
      </c>
      <c r="AB28" s="362" t="str">
        <f t="shared" si="11"/>
        <v>Kurzvorstellung durch die Station (DS)</v>
      </c>
      <c r="AC28" s="670"/>
      <c r="AD28" s="313"/>
      <c r="AE28" s="362" t="str">
        <f t="shared" si="5"/>
        <v/>
      </c>
    </row>
    <row r="29" spans="1:31" s="20" customFormat="1" ht="43.5" customHeight="1">
      <c r="A29" s="1420">
        <v>90</v>
      </c>
      <c r="B29" s="1421">
        <f t="shared" si="7"/>
        <v>90</v>
      </c>
      <c r="C29" s="1373">
        <f t="shared" si="8"/>
        <v>6.25E-2</v>
      </c>
      <c r="D29" s="1374" t="str">
        <f t="shared" si="9"/>
        <v>Bearbeitung Zertifizierungsdokument</v>
      </c>
      <c r="E29" s="1375" t="str">
        <f t="shared" si="10"/>
        <v>Besprechungsraum</v>
      </c>
      <c r="F29" s="1376"/>
      <c r="G29" s="1377" t="s">
        <v>789</v>
      </c>
      <c r="H29" s="1409"/>
      <c r="I29" s="1409" t="s">
        <v>789</v>
      </c>
      <c r="J29" s="1410"/>
      <c r="Z29" s="302" t="s">
        <v>1667</v>
      </c>
      <c r="AA29" s="315" t="s">
        <v>1711</v>
      </c>
      <c r="AB29" s="362" t="str">
        <f t="shared" si="11"/>
        <v>Bearbeitung Zertifizierungsdokument</v>
      </c>
      <c r="AC29" s="670"/>
      <c r="AD29" s="313"/>
      <c r="AE29" s="362" t="str">
        <f t="shared" si="5"/>
        <v/>
      </c>
    </row>
    <row r="30" spans="1:31" s="20" customFormat="1" ht="43.5" customHeight="1">
      <c r="A30" s="1420">
        <v>60</v>
      </c>
      <c r="B30" s="1421">
        <f t="shared" si="7"/>
        <v>60</v>
      </c>
      <c r="C30" s="1373">
        <f t="shared" si="8"/>
        <v>0.125</v>
      </c>
      <c r="D30" s="1374" t="str">
        <f t="shared" si="9"/>
        <v>Rundgang über ganze Station</v>
      </c>
      <c r="E30" s="1375" t="str">
        <f>AE30</f>
        <v>Station und Umgebung</v>
      </c>
      <c r="F30" s="1376"/>
      <c r="G30" s="1377" t="s">
        <v>789</v>
      </c>
      <c r="H30" s="1409"/>
      <c r="I30" s="1409" t="s">
        <v>789</v>
      </c>
      <c r="J30" s="1410"/>
      <c r="Z30" s="302" t="s">
        <v>1668</v>
      </c>
      <c r="AA30" s="315" t="s">
        <v>1712</v>
      </c>
      <c r="AB30" s="362" t="str">
        <f t="shared" si="11"/>
        <v>Rundgang über ganze Station</v>
      </c>
      <c r="AC30" s="675" t="s">
        <v>1990</v>
      </c>
      <c r="AD30" s="972" t="s">
        <v>1991</v>
      </c>
      <c r="AE30" s="364" t="str">
        <f t="shared" si="5"/>
        <v>Station und Umgebung</v>
      </c>
    </row>
    <row r="31" spans="1:31" s="20" customFormat="1" ht="43.5" customHeight="1">
      <c r="A31" s="1420">
        <v>30</v>
      </c>
      <c r="B31" s="1421">
        <f t="shared" si="7"/>
        <v>30</v>
      </c>
      <c r="C31" s="1373">
        <f t="shared" si="8"/>
        <v>0.16666666666666666</v>
      </c>
      <c r="D31" s="1374" t="str">
        <f t="shared" si="9"/>
        <v>Interne Besprechung</v>
      </c>
      <c r="E31" s="1375" t="str">
        <f t="shared" si="10"/>
        <v>Besprechungsraum</v>
      </c>
      <c r="F31" s="1376"/>
      <c r="G31" s="1377" t="s">
        <v>789</v>
      </c>
      <c r="H31" s="1409"/>
      <c r="I31" s="1409"/>
      <c r="J31" s="1410"/>
      <c r="Z31" s="302" t="s">
        <v>1669</v>
      </c>
      <c r="AA31" s="315" t="s">
        <v>1713</v>
      </c>
      <c r="AB31" s="362" t="str">
        <f t="shared" si="11"/>
        <v>Interne Besprechung</v>
      </c>
      <c r="AC31" s="670"/>
      <c r="AD31" s="313"/>
      <c r="AE31" s="362" t="str">
        <f t="shared" si="5"/>
        <v/>
      </c>
    </row>
    <row r="32" spans="1:31" s="20" customFormat="1" ht="43.5" customHeight="1" thickBot="1">
      <c r="A32" s="1422">
        <v>30</v>
      </c>
      <c r="B32" s="1423">
        <f t="shared" si="7"/>
        <v>30</v>
      </c>
      <c r="C32" s="1373">
        <f t="shared" si="8"/>
        <v>0.1875</v>
      </c>
      <c r="D32" s="1374" t="str">
        <f t="shared" si="9"/>
        <v>Abschluss: Klärung offener Fragen
Nachzuliefernde Dokumente
Weiterer Ablauf inkl. Zeitraum</v>
      </c>
      <c r="E32" s="1375" t="str">
        <f t="shared" si="10"/>
        <v>Besprechungsraum</v>
      </c>
      <c r="F32" s="1376"/>
      <c r="G32" s="1377" t="s">
        <v>789</v>
      </c>
      <c r="H32" s="1409"/>
      <c r="I32" s="1409" t="s">
        <v>789</v>
      </c>
      <c r="J32" s="1410" t="s">
        <v>1673</v>
      </c>
      <c r="Z32" s="302" t="s">
        <v>1670</v>
      </c>
      <c r="AA32" s="315" t="s">
        <v>1714</v>
      </c>
      <c r="AB32" s="362" t="str">
        <f t="shared" si="11"/>
        <v>Abschluss: Klärung offener Fragen
Nachzuliefernde Dokumente
Weiterer Ablauf inkl. Zeitraum</v>
      </c>
      <c r="AC32" s="670"/>
      <c r="AD32" s="313"/>
      <c r="AE32" s="362" t="str">
        <f t="shared" si="5"/>
        <v/>
      </c>
    </row>
    <row r="33" spans="1:31" s="20" customFormat="1" ht="43.5" customHeight="1" thickBot="1">
      <c r="A33" s="1425">
        <f>SUM(A24:A32)/60/24</f>
        <v>0.20833333333333334</v>
      </c>
      <c r="B33" s="1426">
        <f>SUM(B24:B32)/60/24</f>
        <v>0.20833333333333334</v>
      </c>
      <c r="C33" s="1378">
        <f t="shared" si="8"/>
        <v>0.20833333333333334</v>
      </c>
      <c r="D33" s="1379" t="str">
        <f t="shared" si="9"/>
        <v>Ende der Visitation</v>
      </c>
      <c r="E33" s="1380"/>
      <c r="F33" s="1380"/>
      <c r="G33" s="1381"/>
      <c r="H33" s="1382"/>
      <c r="I33" s="1382"/>
      <c r="J33" s="1383"/>
      <c r="Z33" s="302" t="s">
        <v>826</v>
      </c>
      <c r="AA33" s="315" t="s">
        <v>827</v>
      </c>
      <c r="AB33" s="362" t="str">
        <f t="shared" si="11"/>
        <v>Ende der Visitation</v>
      </c>
      <c r="AC33" s="670"/>
      <c r="AD33" s="313"/>
      <c r="AE33" s="362" t="str">
        <f t="shared" si="5"/>
        <v/>
      </c>
    </row>
    <row r="34" spans="1:31" s="20" customFormat="1" ht="28" customHeight="1">
      <c r="A34" s="1424"/>
      <c r="B34" s="1424"/>
      <c r="C34" s="1369"/>
      <c r="D34" s="1372"/>
      <c r="E34" s="445"/>
      <c r="F34" s="445"/>
      <c r="G34" s="1370"/>
      <c r="H34" s="1371"/>
      <c r="I34" s="1371"/>
      <c r="J34" s="1371"/>
      <c r="Z34" s="302"/>
      <c r="AA34" s="315"/>
      <c r="AB34" s="362" t="str">
        <f t="shared" si="11"/>
        <v/>
      </c>
      <c r="AC34" s="670"/>
      <c r="AD34" s="313"/>
      <c r="AE34" s="362" t="str">
        <f t="shared" si="5"/>
        <v/>
      </c>
    </row>
    <row r="35" spans="1:31" s="20" customFormat="1" ht="28" customHeight="1">
      <c r="A35" s="1369"/>
      <c r="B35" s="1369"/>
      <c r="C35" s="1369"/>
      <c r="D35" s="1372"/>
      <c r="E35" s="445"/>
      <c r="F35" s="445"/>
      <c r="G35" s="1370"/>
      <c r="H35" s="1371"/>
      <c r="I35" s="1371"/>
      <c r="J35" s="1371"/>
      <c r="Z35" s="302"/>
      <c r="AA35" s="315"/>
      <c r="AB35" s="362" t="str">
        <f t="shared" si="11"/>
        <v/>
      </c>
      <c r="AC35" s="670"/>
      <c r="AD35" s="322"/>
      <c r="AE35" s="617"/>
    </row>
    <row r="36" spans="1:31" s="20" customFormat="1" ht="28" customHeight="1">
      <c r="A36" s="1369"/>
      <c r="B36" s="1369"/>
      <c r="C36" s="1369"/>
      <c r="D36" s="1372"/>
      <c r="E36" s="445"/>
      <c r="F36" s="445"/>
      <c r="G36" s="1370"/>
      <c r="H36" s="1371"/>
      <c r="I36" s="1371"/>
      <c r="J36" s="1371"/>
      <c r="Z36" s="302"/>
      <c r="AA36" s="315"/>
      <c r="AB36" s="362" t="str">
        <f t="shared" si="11"/>
        <v/>
      </c>
      <c r="AC36" s="670"/>
      <c r="AD36" s="322"/>
      <c r="AE36" s="617"/>
    </row>
    <row r="37" spans="1:31" s="20" customFormat="1" ht="28" customHeight="1">
      <c r="A37" s="1369"/>
      <c r="B37" s="1369"/>
      <c r="C37" s="1369"/>
      <c r="D37" s="1372"/>
      <c r="E37" s="445"/>
      <c r="F37" s="445"/>
      <c r="G37" s="1370"/>
      <c r="H37" s="1371"/>
      <c r="I37" s="1371"/>
      <c r="J37" s="1371"/>
      <c r="Z37" s="302"/>
      <c r="AA37" s="315"/>
      <c r="AB37" s="362" t="str">
        <f t="shared" si="11"/>
        <v/>
      </c>
      <c r="AC37" s="670"/>
      <c r="AD37" s="322"/>
      <c r="AE37" s="617"/>
    </row>
  </sheetData>
  <sheetProtection algorithmName="SHA-512" hashValue="fSe66FkGlScj6TbAYg//biYiHZujwG418xgwjvGfivaQ93wqCUBHn5AJRkuPHSTB79+aCRvPAB+Rx5TD1NqOLw==" saltValue="kgJKEPbb4Vws8XsUjtxQUg==" spinCount="100000" sheet="1" selectLockedCells="1"/>
  <mergeCells count="13">
    <mergeCell ref="A22:A23"/>
    <mergeCell ref="B1:D1"/>
    <mergeCell ref="G1:J1"/>
    <mergeCell ref="G2:J2"/>
    <mergeCell ref="G22:J22"/>
    <mergeCell ref="C21:E21"/>
    <mergeCell ref="C14:D14"/>
    <mergeCell ref="D5:F5"/>
    <mergeCell ref="D6:F6"/>
    <mergeCell ref="G12:J12"/>
    <mergeCell ref="C20:F20"/>
    <mergeCell ref="B22:B23"/>
    <mergeCell ref="D3:E3"/>
  </mergeCells>
  <conditionalFormatting sqref="A1">
    <cfRule type="containsText" dxfId="30" priority="2" operator="containsText" text="F">
      <formula>NOT(ISERROR(SEARCH("F",A1)))</formula>
    </cfRule>
  </conditionalFormatting>
  <dataValidations count="1">
    <dataValidation type="time" allowBlank="1" showInputMessage="1" showErrorMessage="1" sqref="F21 D6:F7 D11:F11" xr:uid="{00000000-0002-0000-0200-000000000000}">
      <formula1>0.208333333333333</formula1>
      <formula2>0.999305555555556</formula2>
    </dataValidation>
  </dataValidations>
  <pageMargins left="0.59055118110236227" right="0.39370078740157483" top="0.39370078740157483" bottom="0.59055118110236227" header="0.51181102362204722" footer="0.19685039370078741"/>
  <pageSetup paperSize="9" scale="58" orientation="portrait" r:id="rId1"/>
  <headerFooter>
    <oddFooter>&amp;R&amp;"Calibri,Normal"&amp;K000000Visitation -Plan S. &amp;P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Liste!$I$2:$I$6</xm:f>
          </x14:formula1>
          <xm:sqref>H4</xm:sqref>
        </x14:dataValidation>
        <x14:dataValidation type="list" allowBlank="1" showInputMessage="1" showErrorMessage="1" xr:uid="{00000000-0002-0000-0200-000002000000}">
          <x14:formula1>
            <xm:f>Liste!$F$2:$F$3</xm:f>
          </x14:formula1>
          <xm:sqref>A1</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theme="9" tint="0.59999389629810485"/>
  </sheetPr>
  <dimension ref="A1:T83"/>
  <sheetViews>
    <sheetView workbookViewId="0">
      <pane xSplit="1" ySplit="2" topLeftCell="B3" activePane="bottomRight" state="frozenSplit"/>
      <selection activeCell="B41" sqref="B41:F41"/>
      <selection pane="topRight" activeCell="B41" sqref="B41:F41"/>
      <selection pane="bottomLeft" activeCell="B41" sqref="B41:F41"/>
      <selection pane="bottomRight" activeCell="B41" sqref="B41:F41"/>
    </sheetView>
  </sheetViews>
  <sheetFormatPr baseColWidth="10" defaultColWidth="10.83203125" defaultRowHeight="14"/>
  <cols>
    <col min="1" max="1" width="37" style="113" customWidth="1"/>
    <col min="2" max="2" width="11.5" style="113" customWidth="1"/>
    <col min="3" max="3" width="32.1640625" style="113" customWidth="1"/>
    <col min="4" max="5" width="32.1640625" style="108" customWidth="1"/>
    <col min="6" max="6" width="65.1640625" style="112" customWidth="1"/>
    <col min="7" max="7" width="25.1640625" style="371" customWidth="1"/>
    <col min="8" max="8" width="42.83203125" style="112" customWidth="1"/>
    <col min="9" max="10" width="10.83203125" style="108"/>
    <col min="11" max="12" width="10.83203125" style="108" customWidth="1"/>
    <col min="13" max="13" width="53.1640625" style="302" customWidth="1"/>
    <col min="14" max="14" width="53.1640625" style="315" customWidth="1"/>
    <col min="15" max="15" width="23.5" style="362" customWidth="1"/>
    <col min="16" max="16" width="36.83203125" style="318" customWidth="1"/>
    <col min="17" max="17" width="36.83203125" style="319" customWidth="1"/>
    <col min="18" max="18" width="18.6640625" style="314" customWidth="1"/>
    <col min="19" max="19" width="10.83203125" style="108"/>
    <col min="20" max="20" width="4.1640625" style="109" customWidth="1"/>
    <col min="21" max="16384" width="10.83203125" style="108"/>
  </cols>
  <sheetData>
    <row r="1" spans="1:20" s="642" customFormat="1" ht="43" customHeight="1" thickBot="1">
      <c r="A1" s="1152" t="str">
        <f>'4b Visitation'!A1</f>
        <v>D</v>
      </c>
      <c r="B1" s="2326" t="str">
        <f>O4</f>
        <v>Visitationsbericht Zusammenfassung: Wird automatisch ausgefüllt (zur Generierung pdf und Ausdruck)</v>
      </c>
      <c r="C1" s="2327"/>
      <c r="D1" s="2327"/>
      <c r="E1" s="2327"/>
      <c r="F1" s="763"/>
      <c r="G1" s="763"/>
      <c r="H1" s="763"/>
      <c r="M1" s="643" t="s">
        <v>761</v>
      </c>
      <c r="N1" s="644" t="s">
        <v>762</v>
      </c>
      <c r="O1" s="645" t="s">
        <v>773</v>
      </c>
      <c r="P1" s="643" t="s">
        <v>763</v>
      </c>
      <c r="Q1" s="644" t="s">
        <v>764</v>
      </c>
      <c r="R1" s="645" t="s">
        <v>772</v>
      </c>
      <c r="T1" s="764" t="s">
        <v>852</v>
      </c>
    </row>
    <row r="2" spans="1:20" s="769" customFormat="1" ht="31" customHeight="1" thickBot="1">
      <c r="A2" s="1317" t="str">
        <f>O3</f>
        <v xml:space="preserve">Pour changer en Français: cf. onglet "4 Visitation"
</v>
      </c>
      <c r="B2" s="774"/>
      <c r="C2" s="2330" t="str">
        <f>R4</f>
        <v>Ausdruck pdf: Insgesamt 3 Seiten. Falls Probleme im Format bitte korrigieren: 
Seitenorientierung "Portrait", Skalierung 50%</v>
      </c>
      <c r="D2" s="2330"/>
      <c r="E2" s="2330"/>
      <c r="F2" s="765"/>
      <c r="G2" s="766"/>
      <c r="H2" s="767"/>
      <c r="I2" s="768"/>
      <c r="M2" s="302" t="s">
        <v>993</v>
      </c>
      <c r="N2" s="315" t="s">
        <v>994</v>
      </c>
      <c r="O2" s="362" t="str">
        <f>IF(M2=0,"",IF($A$1="D",M2,N2))</f>
        <v>Name pdf-Datei:</v>
      </c>
      <c r="P2" s="770" t="s">
        <v>996</v>
      </c>
      <c r="Q2" s="771" t="s">
        <v>997</v>
      </c>
      <c r="R2" s="772" t="str">
        <f t="shared" ref="R2" si="0">IF(P2=0,"",IF($A$1="D",P2,Q2))</f>
        <v>VISITATION_Bericht_kurz</v>
      </c>
      <c r="T2" s="773"/>
    </row>
    <row r="3" spans="1:20" s="20" customFormat="1" ht="28" customHeight="1">
      <c r="A3" s="304"/>
      <c r="B3" s="445"/>
      <c r="C3" s="445"/>
      <c r="E3" s="445"/>
      <c r="G3" s="370"/>
      <c r="M3" s="302" t="s">
        <v>1606</v>
      </c>
      <c r="N3" s="315" t="s">
        <v>1607</v>
      </c>
      <c r="O3" s="362" t="str">
        <f>IF(M3=0,"",IF($A$1="D",M3,N3))</f>
        <v xml:space="preserve">Pour changer en Français: cf. onglet "4 Visitation"
</v>
      </c>
      <c r="P3" s="318"/>
      <c r="Q3" s="319"/>
      <c r="R3" s="314"/>
      <c r="T3" s="445"/>
    </row>
    <row r="4" spans="1:20" ht="83" customHeight="1">
      <c r="F4" s="21"/>
      <c r="M4" s="302" t="s">
        <v>903</v>
      </c>
      <c r="N4" s="315" t="s">
        <v>1447</v>
      </c>
      <c r="O4" s="362" t="str">
        <f>IF(M4=0,"",IF($A$1="D",M4,N4))</f>
        <v>Visitationsbericht Zusammenfassung: Wird automatisch ausgefüllt (zur Generierung pdf und Ausdruck)</v>
      </c>
      <c r="P4" s="318" t="s">
        <v>1719</v>
      </c>
      <c r="Q4" s="319" t="s">
        <v>1720</v>
      </c>
      <c r="R4" s="314" t="str">
        <f t="shared" ref="R4:R25" si="1">IF(P4=0,"",IF($A$1="D",P4,Q4))</f>
        <v>Ausdruck pdf: Insgesamt 3 Seiten. Falls Probleme im Format bitte korrigieren: 
Seitenorientierung "Portrait", Skalierung 50%</v>
      </c>
    </row>
    <row r="5" spans="1:20" s="20" customFormat="1" ht="21.75" customHeight="1">
      <c r="A5" s="155"/>
      <c r="B5" s="155"/>
      <c r="C5" s="155"/>
      <c r="D5" s="157"/>
      <c r="E5" s="490" t="str">
        <f>CONCATENATE(B67,", ",B68,", ",B69," - ",O5,E79)</f>
        <v>0, 0, 0 - Bericht vom: 00.01.1900</v>
      </c>
      <c r="F5" s="481"/>
      <c r="G5" s="370"/>
      <c r="M5" s="312" t="str">
        <f>'4b Visitation'!AD103</f>
        <v xml:space="preserve">Bericht vom: </v>
      </c>
      <c r="N5" s="503" t="str">
        <f>'4b Visitation'!AE103</f>
        <v xml:space="preserve">Rapport du: </v>
      </c>
      <c r="O5" s="362" t="str">
        <f>IF(M5=0,"",IF($A$1="D",M5,N5))</f>
        <v xml:space="preserve">Bericht vom: </v>
      </c>
      <c r="P5" s="318"/>
      <c r="Q5" s="319"/>
      <c r="R5" s="314" t="str">
        <f>IF(P5=0,"",IF($A$1="D",P5,Q5))</f>
        <v/>
      </c>
      <c r="T5" s="481"/>
    </row>
    <row r="6" spans="1:20" s="160" customFormat="1" ht="73" customHeight="1">
      <c r="A6" s="2329" t="str">
        <f>IF(B77=Liste!$G$2,R6,O6)</f>
        <v>Bericht: Aktenstudium des Dossiers und Visitation der IS</v>
      </c>
      <c r="B6" s="2329"/>
      <c r="C6" s="2329"/>
      <c r="D6" s="2329"/>
      <c r="E6" s="2329"/>
      <c r="F6" s="2331"/>
      <c r="G6" s="2331"/>
      <c r="H6" s="2331"/>
      <c r="M6" s="302" t="s">
        <v>1591</v>
      </c>
      <c r="N6" s="315" t="s">
        <v>1627</v>
      </c>
      <c r="O6" s="362" t="str">
        <f t="shared" ref="O6:O18" si="2">IF(M6=0,"",IF($A$1="D",M6,N6))</f>
        <v>Bericht: Aktenstudium des Dossiers und Visitation der IS</v>
      </c>
      <c r="P6" s="318" t="s">
        <v>1592</v>
      </c>
      <c r="Q6" s="319" t="s">
        <v>1628</v>
      </c>
      <c r="R6" s="314" t="str">
        <f t="shared" si="1"/>
        <v>Bericht: Aktenstudium des Dossiers (ohne Visitation der IS)</v>
      </c>
      <c r="T6" s="157"/>
    </row>
    <row r="7" spans="1:20" s="30" customFormat="1" ht="30" customHeight="1">
      <c r="A7" s="454" t="str">
        <f>O69</f>
        <v>Station</v>
      </c>
      <c r="B7" s="455" t="str">
        <f>'1 ANTRAG-DEMANDE'!B15&amp;",  "&amp;'1 ANTRAG-DEMANDE'!B13&amp;", "&amp;'1 ANTRAG-DEMANDE'!B12&amp;", "&amp;'1 ANTRAG-DEMANDE'!B11</f>
        <v xml:space="preserve">,  , , </v>
      </c>
      <c r="C7" s="455"/>
      <c r="D7" s="454"/>
      <c r="E7" s="456"/>
      <c r="F7" s="457"/>
      <c r="G7" s="457"/>
      <c r="H7" s="458"/>
      <c r="M7" s="302"/>
      <c r="N7" s="315"/>
      <c r="O7" s="362" t="str">
        <f t="shared" si="2"/>
        <v/>
      </c>
      <c r="P7" s="459"/>
      <c r="Q7" s="460"/>
      <c r="R7" s="461" t="str">
        <f t="shared" si="1"/>
        <v/>
      </c>
      <c r="T7" s="457"/>
    </row>
    <row r="8" spans="1:20" s="30" customFormat="1" ht="30" customHeight="1">
      <c r="A8" s="446" t="str">
        <f>O8</f>
        <v>Typ der Intensivstation</v>
      </c>
      <c r="B8" s="453" t="str">
        <f>IF(COUNTIF('1 ANTRAG-DEMANDE'!B18:B20,"x")&lt;&gt;1,R10,IF('1 ANTRAG-DEMANDE'!B18="x",R67,IF('1 ANTRAG-DEMANDE'!B19="x",R68,R69)))</f>
        <v>Fehler im Antrag  !</v>
      </c>
      <c r="C8" s="453"/>
      <c r="D8" s="454"/>
      <c r="E8" s="456"/>
      <c r="F8" s="457"/>
      <c r="G8" s="457"/>
      <c r="H8" s="458"/>
      <c r="M8" s="312" t="str">
        <f>'1 ANTRAG-DEMANDE'!AD17</f>
        <v>Typ der Intensivstation</v>
      </c>
      <c r="N8" s="503" t="str">
        <f>'1 ANTRAG-DEMANDE'!AE17</f>
        <v>Type d'USI</v>
      </c>
      <c r="O8" s="362" t="str">
        <f>IF(M8=0,"",IF($A$1="D",M8,N8))</f>
        <v>Typ der Intensivstation</v>
      </c>
      <c r="P8" s="459"/>
      <c r="Q8" s="460"/>
      <c r="R8" s="461"/>
      <c r="T8" s="457"/>
    </row>
    <row r="9" spans="1:20" s="30" customFormat="1" ht="17" customHeight="1">
      <c r="A9" s="480" t="str">
        <f>O9</f>
        <v>Baujahr</v>
      </c>
      <c r="B9" s="449">
        <f>'1 ANTRAG-DEMANDE'!B23</f>
        <v>0</v>
      </c>
      <c r="C9" s="453"/>
      <c r="D9" s="454"/>
      <c r="E9" s="456"/>
      <c r="F9" s="457"/>
      <c r="G9" s="457"/>
      <c r="H9" s="458"/>
      <c r="M9" s="312" t="str">
        <f>'1 ANTRAG-DEMANDE'!AD23</f>
        <v>Baujahr</v>
      </c>
      <c r="N9" s="503" t="str">
        <f>'1 ANTRAG-DEMANDE'!AE23</f>
        <v>Année de construction</v>
      </c>
      <c r="O9" s="362" t="str">
        <f t="shared" si="2"/>
        <v>Baujahr</v>
      </c>
      <c r="P9" s="459"/>
      <c r="Q9" s="460"/>
      <c r="R9" s="461"/>
      <c r="T9" s="457"/>
    </row>
    <row r="10" spans="1:20" s="30" customFormat="1" ht="17" customHeight="1">
      <c r="A10" s="480" t="str">
        <f>O10</f>
        <v>Jahr der letzten Renovierung</v>
      </c>
      <c r="B10" s="449" t="str">
        <f>IF('1 ANTRAG-DEMANDE'!B24=0,"/",'1 ANTRAG-DEMANDE'!B24)</f>
        <v>/</v>
      </c>
      <c r="C10" s="453"/>
      <c r="D10" s="454"/>
      <c r="E10" s="456"/>
      <c r="F10" s="457"/>
      <c r="G10" s="457"/>
      <c r="H10" s="458"/>
      <c r="M10" s="312" t="str">
        <f>'1 ANTRAG-DEMANDE'!AD24</f>
        <v>Jahr der letzten Renovierung</v>
      </c>
      <c r="N10" s="503" t="str">
        <f>'1 ANTRAG-DEMANDE'!AE24</f>
        <v>Année de la dernière renovation</v>
      </c>
      <c r="O10" s="362" t="str">
        <f>IF(M10=0,"",IF($A$1="D",M10,N10))</f>
        <v>Jahr der letzten Renovierung</v>
      </c>
      <c r="P10" s="317" t="str">
        <f>'4b Visitation'!AD51</f>
        <v>Fehler im Antrag  !</v>
      </c>
      <c r="Q10" s="653" t="str">
        <f>'4b Visitation'!AE51</f>
        <v>Erreur dans le formulaire de demande !</v>
      </c>
      <c r="R10" s="314" t="str">
        <f>IF(P10=0,"",IF($A$1="D",P10,Q10))</f>
        <v>Fehler im Antrag  !</v>
      </c>
      <c r="T10" s="457"/>
    </row>
    <row r="11" spans="1:20" s="456" customFormat="1" ht="34" customHeight="1">
      <c r="A11" s="484" t="str">
        <f t="shared" ref="A11:A19" si="3">O11</f>
        <v>Bettenanzahl für dieses Zertifikat:</v>
      </c>
      <c r="B11" s="485">
        <f>'1 ANTRAG-DEMANDE'!B22</f>
        <v>0</v>
      </c>
      <c r="C11" s="467"/>
      <c r="D11" s="454"/>
      <c r="F11" s="454"/>
      <c r="G11" s="454"/>
      <c r="H11" s="603"/>
      <c r="M11" s="486" t="s">
        <v>822</v>
      </c>
      <c r="N11" s="487" t="s">
        <v>823</v>
      </c>
      <c r="O11" s="364" t="str">
        <f>IF(M11=0,"",IF($A$1="D",M11,N11))</f>
        <v>Bettenanzahl für dieses Zertifikat:</v>
      </c>
      <c r="P11" s="317" t="str">
        <f>'4b Visitation'!AD52</f>
        <v>REZERTIFIZIERUNG</v>
      </c>
      <c r="Q11" s="317" t="str">
        <f>'4b Visitation'!AE52</f>
        <v>RECERTIFICATION</v>
      </c>
      <c r="R11" s="314" t="str">
        <f>IF(P11=0,"",IF($A$1="D",P11,Q11))</f>
        <v>REZERTIFIZIERUNG</v>
      </c>
      <c r="T11" s="454"/>
    </row>
    <row r="12" spans="1:20" s="30" customFormat="1" ht="18" customHeight="1">
      <c r="A12" s="480" t="str">
        <f t="shared" si="3"/>
        <v>Bettenanzahl bisher zertifiziert</v>
      </c>
      <c r="B12" s="467" t="str">
        <f>IF('1 ANTRAG-DEMANDE'!B31=0,"/",'1 ANTRAG-DEMANDE'!B31)</f>
        <v>/</v>
      </c>
      <c r="C12" s="467"/>
      <c r="D12" s="454"/>
      <c r="E12" s="456"/>
      <c r="F12" s="457"/>
      <c r="G12" s="457"/>
      <c r="H12" s="458"/>
      <c r="M12" s="312" t="str">
        <f>'1 ANTRAG-DEMANDE'!AD31</f>
        <v>Bettenanzahl bisher zertifiziert</v>
      </c>
      <c r="N12" s="316" t="str">
        <f>'1 ANTRAG-DEMANDE'!AE31</f>
        <v>Nombre de lits déjà certifiés</v>
      </c>
      <c r="O12" s="362" t="str">
        <f>IF(M12=0,"",IF($A$1="D",M12,N12))</f>
        <v>Bettenanzahl bisher zertifiziert</v>
      </c>
      <c r="P12" s="317" t="str">
        <f>'4b Visitation'!AD54</f>
        <v>NEUZERTIFIZIERUNG</v>
      </c>
      <c r="Q12" s="317" t="str">
        <f>'4b Visitation'!AE54</f>
        <v>Nouvelle Certification</v>
      </c>
      <c r="R12" s="314" t="str">
        <f>IF(P12=0,"",IF($A$1="D",P12,Q12))</f>
        <v>NEUZERTIFIZIERUNG</v>
      </c>
      <c r="T12" s="457"/>
    </row>
    <row r="13" spans="1:20" s="30" customFormat="1" ht="13.5" customHeight="1">
      <c r="A13" s="480"/>
      <c r="B13" s="467"/>
      <c r="C13" s="467"/>
      <c r="D13" s="454"/>
      <c r="E13" s="456"/>
      <c r="F13" s="457"/>
      <c r="G13" s="457"/>
      <c r="H13" s="458"/>
      <c r="M13" s="312"/>
      <c r="N13" s="316"/>
      <c r="O13" s="362"/>
      <c r="P13" s="459"/>
      <c r="Q13" s="460"/>
      <c r="R13" s="461"/>
      <c r="T13" s="457"/>
    </row>
    <row r="14" spans="1:20" s="473" customFormat="1" ht="19.5" customHeight="1">
      <c r="A14" s="471" t="str">
        <f t="shared" si="3"/>
        <v>Grund des Antrags auf Zertifizierung</v>
      </c>
      <c r="B14" s="2236" t="str">
        <f>IF('1 ANTRAG-DEMANDE'!B26=Liste!G3,R12,IF('1 ANTRAG-DEMANDE'!B26=Liste!G2,R11,R10))</f>
        <v>Fehler im Antrag  !</v>
      </c>
      <c r="C14" s="2236"/>
      <c r="D14" s="472"/>
      <c r="E14" s="472"/>
      <c r="F14" s="472"/>
      <c r="G14" s="472"/>
      <c r="H14" s="608"/>
      <c r="M14" s="662" t="str">
        <f>'4b Visitation'!AA55</f>
        <v>Grund des Antrags auf Zertifizierung</v>
      </c>
      <c r="N14" s="662" t="str">
        <f>'4b Visitation'!AB55</f>
        <v>Raison de la demande de certification</v>
      </c>
      <c r="O14" s="476" t="str">
        <f t="shared" si="2"/>
        <v>Grund des Antrags auf Zertifizierung</v>
      </c>
      <c r="P14" s="477"/>
      <c r="Q14" s="478"/>
      <c r="R14" s="479"/>
      <c r="T14" s="472"/>
    </row>
    <row r="15" spans="1:20" s="473" customFormat="1" ht="96.75" customHeight="1">
      <c r="A15" s="471"/>
      <c r="B15" s="2332" t="str">
        <f>E70&amp;E71&amp;E72&amp;E73&amp;E74&amp;E75</f>
        <v/>
      </c>
      <c r="C15" s="2332"/>
      <c r="D15" s="472"/>
      <c r="F15" s="472"/>
      <c r="G15" s="472"/>
      <c r="H15" s="608"/>
      <c r="M15" s="474"/>
      <c r="N15" s="475"/>
      <c r="O15" s="476"/>
      <c r="P15" s="477"/>
      <c r="Q15" s="478"/>
      <c r="R15" s="479"/>
      <c r="T15" s="472"/>
    </row>
    <row r="16" spans="1:20" s="20" customFormat="1" ht="26" customHeight="1">
      <c r="A16" s="304" t="str">
        <f t="shared" si="3"/>
        <v>Datum der letzten Zertifizierung /Visitation</v>
      </c>
      <c r="B16" s="444" t="str">
        <f>IF('1 ANTRAG-DEMANDE'!B28=0,"/",'1 ANTRAG-DEMANDE'!B28)</f>
        <v>/</v>
      </c>
      <c r="C16" s="444"/>
      <c r="E16" s="445"/>
      <c r="G16" s="370"/>
      <c r="M16" s="312" t="str">
        <f>'1 ANTRAG-DEMANDE'!AD28</f>
        <v>Datum der letzten Zertifizierung /Visitation</v>
      </c>
      <c r="N16" s="503" t="str">
        <f>'1 ANTRAG-DEMANDE'!AE28</f>
        <v>Date de la dernière certification /visite</v>
      </c>
      <c r="O16" s="362" t="str">
        <f>IF(M16=0,"",IF($A$1="D",M16,N16))</f>
        <v>Datum der letzten Zertifizierung /Visitation</v>
      </c>
      <c r="P16" s="318"/>
      <c r="Q16" s="319"/>
      <c r="R16" s="314"/>
      <c r="T16" s="445"/>
    </row>
    <row r="17" spans="1:20" ht="21" customHeight="1">
      <c r="A17" s="446" t="str">
        <f t="shared" si="3"/>
        <v>Datum Antrag Zertifizierung</v>
      </c>
      <c r="B17" s="482">
        <f>'1 ANTRAG-DEMANDE'!B10</f>
        <v>0</v>
      </c>
      <c r="C17" s="482"/>
      <c r="D17" s="446"/>
      <c r="F17" s="447"/>
      <c r="G17" s="372"/>
      <c r="H17" s="438"/>
      <c r="M17" s="312" t="str">
        <f>'1 ANTRAG-DEMANDE'!AD10</f>
        <v>Datum Antrag Zertifizierung</v>
      </c>
      <c r="N17" s="316" t="str">
        <f>'1 ANTRAG-DEMANDE'!AE10</f>
        <v>Date Demande Certification</v>
      </c>
      <c r="O17" s="362" t="str">
        <f t="shared" si="2"/>
        <v>Datum Antrag Zertifizierung</v>
      </c>
      <c r="R17" s="314" t="str">
        <f t="shared" si="1"/>
        <v/>
      </c>
      <c r="T17" s="447"/>
    </row>
    <row r="18" spans="1:20" ht="21" customHeight="1">
      <c r="A18" s="446" t="str">
        <f t="shared" si="3"/>
        <v>Datum Selbstdeklaration</v>
      </c>
      <c r="B18" s="482">
        <f>'2 Autodeklaration'!A4</f>
        <v>0</v>
      </c>
      <c r="C18" s="482"/>
      <c r="D18" s="446"/>
      <c r="F18" s="448"/>
      <c r="G18" s="372"/>
      <c r="H18" s="438"/>
      <c r="M18" s="312" t="str">
        <f>'4b Visitation'!AA69</f>
        <v>Datum Selbstdeklaration</v>
      </c>
      <c r="N18" s="316" t="str">
        <f>'4b Visitation'!AB69</f>
        <v>Date autodéclaration</v>
      </c>
      <c r="O18" s="362" t="str">
        <f t="shared" si="2"/>
        <v>Datum Selbstdeklaration</v>
      </c>
      <c r="R18" s="314" t="str">
        <f t="shared" si="1"/>
        <v/>
      </c>
      <c r="T18" s="448"/>
    </row>
    <row r="19" spans="1:20" ht="19.5" customHeight="1">
      <c r="A19" s="446" t="str">
        <f t="shared" si="3"/>
        <v>Datum Visitation</v>
      </c>
      <c r="B19" s="482">
        <f>IF(B77=Liste!$G$2,"/",B78)</f>
        <v>0</v>
      </c>
      <c r="C19" s="1237"/>
      <c r="D19" s="446"/>
      <c r="F19" s="445"/>
      <c r="G19" s="372"/>
      <c r="H19" s="438"/>
      <c r="M19" s="312" t="str">
        <f>'4b Visitation'!AA10</f>
        <v>Datum Visitation</v>
      </c>
      <c r="N19" s="316" t="str">
        <f>'4b Visitation'!AB10</f>
        <v>Date Visite</v>
      </c>
      <c r="O19" s="362" t="str">
        <f t="shared" ref="O19:O58" si="4">IF(M19=0,"",IF($A$1="D",M19,N19))</f>
        <v>Datum Visitation</v>
      </c>
      <c r="R19" s="314" t="str">
        <f t="shared" si="1"/>
        <v/>
      </c>
      <c r="T19" s="445"/>
    </row>
    <row r="20" spans="1:20" ht="11.25" customHeight="1">
      <c r="A20" s="446"/>
      <c r="B20" s="482"/>
      <c r="C20" s="482"/>
      <c r="D20" s="446"/>
      <c r="F20" s="445"/>
      <c r="G20" s="372"/>
      <c r="H20" s="438"/>
      <c r="M20" s="312"/>
      <c r="N20" s="316"/>
      <c r="T20" s="445"/>
    </row>
    <row r="21" spans="1:20" ht="23.25" customHeight="1">
      <c r="A21" s="446" t="str">
        <f>O$83&amp;" 1"</f>
        <v>Experte  1</v>
      </c>
      <c r="B21" s="453" t="e">
        <f>B81&amp;", "&amp;E81&amp;", "&amp;D81</f>
        <v>#N/A</v>
      </c>
      <c r="C21" s="453"/>
      <c r="D21" s="446"/>
      <c r="F21" s="448"/>
      <c r="G21" s="372"/>
      <c r="H21" s="438"/>
      <c r="O21" s="362" t="str">
        <f t="shared" si="4"/>
        <v/>
      </c>
      <c r="R21" s="314" t="str">
        <f t="shared" si="1"/>
        <v/>
      </c>
      <c r="T21" s="448"/>
    </row>
    <row r="22" spans="1:20" ht="23.25" customHeight="1">
      <c r="A22" s="446" t="str">
        <f>O$83&amp;" 2"</f>
        <v>Experte  2</v>
      </c>
      <c r="B22" s="453" t="e">
        <f>B82&amp;", "&amp;E82&amp;", "&amp;D82</f>
        <v>#N/A</v>
      </c>
      <c r="C22" s="453"/>
      <c r="D22" s="446"/>
      <c r="F22" s="448"/>
      <c r="G22" s="372"/>
      <c r="H22" s="438"/>
      <c r="T22" s="448"/>
    </row>
    <row r="23" spans="1:20" ht="23.25" customHeight="1">
      <c r="A23" s="446" t="str">
        <f>O$83&amp;" 3"</f>
        <v>Experte  3</v>
      </c>
      <c r="B23" s="453" t="e">
        <f>B83&amp;", "&amp;E83&amp;", "&amp;D83</f>
        <v>#N/A</v>
      </c>
      <c r="C23" s="453"/>
      <c r="D23" s="446"/>
      <c r="F23" s="448"/>
      <c r="G23" s="372"/>
      <c r="H23" s="438"/>
      <c r="T23" s="448"/>
    </row>
    <row r="24" spans="1:20" ht="17.25" customHeight="1">
      <c r="A24" s="446"/>
      <c r="B24" s="453"/>
      <c r="C24" s="453"/>
      <c r="D24" s="446"/>
      <c r="F24" s="448"/>
      <c r="G24" s="372"/>
      <c r="H24" s="438"/>
      <c r="M24" s="312" t="str">
        <f>'1 ANTRAG-DEMANDE'!AD32</f>
        <v>Gründe des Antrags auf Rezertifizierung</v>
      </c>
      <c r="N24" s="503" t="str">
        <f>'1 ANTRAG-DEMANDE'!AE32</f>
        <v>Raisons de la demande pour la récertification</v>
      </c>
      <c r="O24" s="362" t="str">
        <f>IF(M24=0,"",IF($A$1="D",M24,N24))</f>
        <v>Gründe des Antrags auf Rezertifizierung</v>
      </c>
      <c r="T24" s="448"/>
    </row>
    <row r="25" spans="1:20" ht="166.5" customHeight="1">
      <c r="A25" s="466" t="str">
        <f>O25</f>
        <v>Teilnehmer des Spitals</v>
      </c>
      <c r="B25" s="2334" t="str">
        <f>IF(B77=Liste!$G$2,"/",'4b Visitation'!H56)</f>
        <v/>
      </c>
      <c r="C25" s="2334"/>
      <c r="D25" s="2334"/>
      <c r="E25" s="2334"/>
      <c r="F25" s="483"/>
      <c r="G25" s="372"/>
      <c r="H25" s="438"/>
      <c r="M25" s="302" t="s">
        <v>784</v>
      </c>
      <c r="N25" s="315" t="s">
        <v>783</v>
      </c>
      <c r="O25" s="362" t="str">
        <f t="shared" si="4"/>
        <v>Teilnehmer des Spitals</v>
      </c>
      <c r="R25" s="314" t="str">
        <f t="shared" si="1"/>
        <v/>
      </c>
      <c r="T25" s="483"/>
    </row>
    <row r="26" spans="1:20" ht="32" customHeight="1">
      <c r="A26" s="466"/>
      <c r="B26" s="607"/>
      <c r="C26" s="607"/>
      <c r="D26" s="604"/>
      <c r="E26" s="483"/>
      <c r="F26" s="483"/>
      <c r="G26" s="372"/>
      <c r="H26" s="438"/>
      <c r="O26" s="362" t="str">
        <f t="shared" si="4"/>
        <v/>
      </c>
      <c r="T26" s="483"/>
    </row>
    <row r="27" spans="1:20" ht="20" customHeight="1">
      <c r="A27" s="466" t="str">
        <f>O27</f>
        <v>Beginn der Visitation</v>
      </c>
      <c r="B27" s="489">
        <f>IF(B77=Liste!$G$2,"/",'4b Visitation'!C11)</f>
        <v>0</v>
      </c>
      <c r="C27" s="607"/>
      <c r="D27" s="604"/>
      <c r="E27" s="483"/>
      <c r="F27" s="483"/>
      <c r="G27" s="372"/>
      <c r="H27" s="438"/>
      <c r="M27" s="312" t="str">
        <f>'4b Visitation'!AA11</f>
        <v>Beginn der Visitation</v>
      </c>
      <c r="N27" s="540" t="str">
        <f>'4b Visitation'!AB11</f>
        <v>Début de la visite</v>
      </c>
      <c r="O27" s="362" t="str">
        <f t="shared" si="4"/>
        <v>Beginn der Visitation</v>
      </c>
      <c r="T27" s="483"/>
    </row>
    <row r="28" spans="1:20" ht="20" customHeight="1">
      <c r="A28" s="466" t="str">
        <f>O28</f>
        <v>Ende der Visitation</v>
      </c>
      <c r="B28" s="489">
        <f>IF(B77=Liste!$G$2,"/",'4b Visitation'!C12)</f>
        <v>0</v>
      </c>
      <c r="C28" s="607"/>
      <c r="D28" s="604"/>
      <c r="E28" s="483"/>
      <c r="F28" s="483"/>
      <c r="G28" s="372"/>
      <c r="H28" s="438"/>
      <c r="M28" s="312" t="str">
        <f>'4b Visitation'!AA12</f>
        <v>Ende der Visitation</v>
      </c>
      <c r="N28" s="540" t="str">
        <f>'4b Visitation'!AB12</f>
        <v>Fin de la visite</v>
      </c>
      <c r="O28" s="362" t="str">
        <f t="shared" si="4"/>
        <v>Ende der Visitation</v>
      </c>
      <c r="T28" s="483"/>
    </row>
    <row r="29" spans="1:20" ht="20" customHeight="1">
      <c r="A29" s="466"/>
      <c r="B29" s="489"/>
      <c r="C29" s="607"/>
      <c r="D29" s="604"/>
      <c r="E29" s="483"/>
      <c r="F29" s="483"/>
      <c r="G29" s="372"/>
      <c r="H29" s="438"/>
      <c r="O29" s="362" t="str">
        <f t="shared" si="4"/>
        <v/>
      </c>
      <c r="T29" s="483"/>
    </row>
    <row r="30" spans="1:20" ht="20" customHeight="1">
      <c r="A30" s="466"/>
      <c r="B30" s="489"/>
      <c r="C30" s="607"/>
      <c r="D30" s="604"/>
      <c r="E30" s="483"/>
      <c r="F30" s="483"/>
      <c r="G30" s="372"/>
      <c r="H30" s="438"/>
      <c r="O30" s="362" t="str">
        <f t="shared" si="4"/>
        <v/>
      </c>
      <c r="T30" s="483"/>
    </row>
    <row r="31" spans="1:20" s="494" customFormat="1" ht="35.25" customHeight="1">
      <c r="A31" s="500" t="str">
        <f>O31</f>
        <v>Qualitätskriterien</v>
      </c>
      <c r="B31" s="498"/>
      <c r="C31" s="498"/>
      <c r="D31" s="466"/>
      <c r="E31" s="491"/>
      <c r="F31" s="491"/>
      <c r="G31" s="492"/>
      <c r="H31" s="493"/>
      <c r="M31" s="312" t="str">
        <f>Kriterien!R17</f>
        <v>Qualitätskriterien</v>
      </c>
      <c r="N31" s="503" t="str">
        <f>Kriterien!S17</f>
        <v>Critères de qualité</v>
      </c>
      <c r="O31" s="362" t="str">
        <f t="shared" ref="O31" si="5">IF(M31=0,"",IF($A$1="D",M31,N31))</f>
        <v>Qualitätskriterien</v>
      </c>
      <c r="P31" s="495"/>
      <c r="Q31" s="496"/>
      <c r="R31" s="497"/>
      <c r="T31" s="491"/>
    </row>
    <row r="32" spans="1:20" ht="23" customHeight="1">
      <c r="A32" s="606" t="str">
        <f>O32</f>
        <v>Muss-Kriterien</v>
      </c>
      <c r="B32" s="2333" t="str">
        <f>R32&amp;ROUND('4b Visitation'!C332*100,0)&amp;R33&amp;'4b Visitation'!C334</f>
        <v>Erfüllt: 0 %,  Nicht-erreichte Punkte: 0</v>
      </c>
      <c r="C32" s="2333"/>
      <c r="D32" s="109"/>
      <c r="M32" s="302" t="s">
        <v>836</v>
      </c>
      <c r="N32" s="315" t="s">
        <v>837</v>
      </c>
      <c r="O32" s="412" t="str">
        <f>IF(M32=0,"",IF($A$1="D",M32,N32))</f>
        <v>Muss-Kriterien</v>
      </c>
      <c r="P32" s="318" t="s">
        <v>840</v>
      </c>
      <c r="Q32" s="319" t="s">
        <v>842</v>
      </c>
      <c r="R32" s="314" t="str">
        <f>IF(P32=0,"",IF($A$1="D",P32,Q32))</f>
        <v xml:space="preserve">Erfüllt: </v>
      </c>
    </row>
    <row r="33" spans="1:20" ht="23" customHeight="1">
      <c r="A33" s="606" t="str">
        <f>O33</f>
        <v>Kann-Kriterien</v>
      </c>
      <c r="B33" s="2333" t="str">
        <f>R32&amp;ROUND('4b Visitation'!D332*100,0)&amp;R33&amp;'4b Visitation'!D334</f>
        <v>Erfüllt: 0 %,  Nicht-erreichte Punkte: 0</v>
      </c>
      <c r="C33" s="2333"/>
      <c r="D33" s="109"/>
      <c r="M33" s="302" t="s">
        <v>838</v>
      </c>
      <c r="N33" s="315" t="s">
        <v>839</v>
      </c>
      <c r="O33" s="412" t="str">
        <f t="shared" ref="O33" si="6">IF(M33=0,"",IF($A$1="D",M33,N33))</f>
        <v>Kann-Kriterien</v>
      </c>
      <c r="P33" s="318" t="s">
        <v>841</v>
      </c>
      <c r="Q33" s="319" t="s">
        <v>843</v>
      </c>
      <c r="R33" s="314" t="str">
        <f>IF(P33=0,"",IF($A$1="D",P33,Q33))</f>
        <v xml:space="preserve"> %,  Nicht-erreichte Punkte: </v>
      </c>
    </row>
    <row r="34" spans="1:20" s="494" customFormat="1" ht="26.25" customHeight="1">
      <c r="A34" s="500"/>
      <c r="B34" s="498"/>
      <c r="C34" s="498"/>
      <c r="D34" s="466"/>
      <c r="E34" s="491"/>
      <c r="F34" s="491"/>
      <c r="G34" s="492"/>
      <c r="H34" s="493"/>
      <c r="M34" s="312"/>
      <c r="N34" s="503"/>
      <c r="O34" s="362"/>
      <c r="P34" s="495"/>
      <c r="Q34" s="496"/>
      <c r="R34" s="497"/>
      <c r="T34" s="491"/>
    </row>
    <row r="35" spans="1:20" s="494" customFormat="1" ht="54" customHeight="1">
      <c r="B35" s="498"/>
      <c r="C35" s="499" t="str">
        <f>O35</f>
        <v>Kommentare der Experten</v>
      </c>
      <c r="D35" s="466"/>
      <c r="E35" s="491"/>
      <c r="F35" s="491"/>
      <c r="G35" s="492"/>
      <c r="H35" s="493"/>
      <c r="M35" s="302" t="s">
        <v>834</v>
      </c>
      <c r="N35" s="315" t="s">
        <v>835</v>
      </c>
      <c r="O35" s="362" t="str">
        <f t="shared" si="4"/>
        <v>Kommentare der Experten</v>
      </c>
      <c r="P35" s="495"/>
      <c r="Q35" s="496"/>
      <c r="R35" s="497"/>
      <c r="T35" s="491"/>
    </row>
    <row r="36" spans="1:20" s="494" customFormat="1" ht="120" customHeight="1">
      <c r="A36" s="605" t="str">
        <f>"1. "&amp;O36</f>
        <v>1. Merkmale einer IS und Kennzahlen</v>
      </c>
      <c r="B36" s="2244" t="str">
        <f>IF('4b Visitation'!L126=0,"",'4b Visitation'!L126)</f>
        <v/>
      </c>
      <c r="C36" s="2244"/>
      <c r="D36" s="2244"/>
      <c r="E36" s="2244"/>
      <c r="F36" s="491"/>
      <c r="G36" s="492"/>
      <c r="H36" s="493"/>
      <c r="M36" s="312" t="str">
        <f>Kriterien!R23</f>
        <v>Merkmale einer IS und Kennzahlen</v>
      </c>
      <c r="N36" s="503" t="str">
        <f>Kriterien!S23</f>
        <v>Caractéristiques d'une USI et indicateurs chiffrés</v>
      </c>
      <c r="O36" s="362" t="str">
        <f t="shared" si="4"/>
        <v>Merkmale einer IS und Kennzahlen</v>
      </c>
      <c r="P36" s="495"/>
      <c r="Q36" s="496"/>
      <c r="R36" s="497"/>
      <c r="T36" s="501"/>
    </row>
    <row r="37" spans="1:20" s="494" customFormat="1" ht="120" customHeight="1">
      <c r="A37" s="605" t="str">
        <f>"2. "&amp;O37</f>
        <v>2. Räumliche/architektonische Anforderungen</v>
      </c>
      <c r="B37" s="2244" t="str">
        <f>IF('4b Visitation'!L182=0,"",'4b Visitation'!L182)</f>
        <v/>
      </c>
      <c r="C37" s="2244"/>
      <c r="D37" s="2244"/>
      <c r="E37" s="2244"/>
      <c r="F37" s="491"/>
      <c r="G37" s="492"/>
      <c r="H37" s="493"/>
      <c r="M37" s="312" t="str">
        <f>Kriterien!R48</f>
        <v>Räumliche/architektonische Anforderungen</v>
      </c>
      <c r="N37" s="312" t="str">
        <f>Kriterien!S48</f>
        <v>Exigences relatives aux locaux/à l'architecture</v>
      </c>
      <c r="O37" s="362" t="str">
        <f t="shared" si="4"/>
        <v>Räumliche/architektonische Anforderungen</v>
      </c>
      <c r="P37" s="495"/>
      <c r="Q37" s="496"/>
      <c r="R37" s="497"/>
      <c r="T37" s="501"/>
    </row>
    <row r="38" spans="1:20" s="494" customFormat="1" ht="120" customHeight="1">
      <c r="A38" s="605" t="str">
        <f>"3. "&amp;O38</f>
        <v>3. Einrichtung des Patientenplatzes</v>
      </c>
      <c r="B38" s="2244" t="str">
        <f>IF('4b Visitation'!L208=0,"",'4b Visitation'!L208)</f>
        <v/>
      </c>
      <c r="C38" s="2244"/>
      <c r="D38" s="2244"/>
      <c r="E38" s="2244"/>
      <c r="F38" s="491"/>
      <c r="G38" s="492"/>
      <c r="H38" s="493"/>
      <c r="M38" s="312" t="str">
        <f>Kriterien!R105</f>
        <v>Einrichtung des Patientenplatzes</v>
      </c>
      <c r="N38" s="312" t="str">
        <f>Kriterien!S105</f>
        <v>Aménagement de l'espace dédié au patient</v>
      </c>
      <c r="O38" s="362" t="str">
        <f t="shared" ref="O38" si="7">IF(M38=0,"",IF($A$1="D",M38,N38))</f>
        <v>Einrichtung des Patientenplatzes</v>
      </c>
      <c r="P38" s="495"/>
      <c r="Q38" s="496"/>
      <c r="R38" s="497"/>
      <c r="T38" s="501"/>
    </row>
    <row r="39" spans="1:20" s="494" customFormat="1" ht="126" customHeight="1">
      <c r="A39" s="605" t="str">
        <f>"4.1. "&amp;O39</f>
        <v>4.1. Ärztlicher Dienst</v>
      </c>
      <c r="B39" s="2244" t="str">
        <f>IF('4b Visitation'!L235=0,"",'4b Visitation'!L235)</f>
        <v/>
      </c>
      <c r="C39" s="2244"/>
      <c r="D39" s="2244"/>
      <c r="E39" s="2244"/>
      <c r="F39" s="491"/>
      <c r="G39" s="492"/>
      <c r="H39" s="493"/>
      <c r="M39" s="312" t="str">
        <f>Kriterien!R130</f>
        <v>Ärztlicher Dienst</v>
      </c>
      <c r="N39" s="312" t="str">
        <f>Kriterien!S130</f>
        <v>Couverture médicale</v>
      </c>
      <c r="O39" s="362" t="str">
        <f t="shared" ref="O39" si="8">IF(M39=0,"",IF($A$1="D",M39,N39))</f>
        <v>Ärztlicher Dienst</v>
      </c>
      <c r="P39" s="495"/>
      <c r="Q39" s="496"/>
      <c r="R39" s="497"/>
      <c r="T39" s="501"/>
    </row>
    <row r="40" spans="1:20" s="494" customFormat="1" ht="140.25" customHeight="1">
      <c r="A40" s="605" t="str">
        <f>"4.2. "&amp;O40</f>
        <v>4.2. Pflegepersonal</v>
      </c>
      <c r="B40" s="2244" t="str">
        <f>IF('4b Visitation'!L262=0,"",'4b Visitation'!L262)</f>
        <v/>
      </c>
      <c r="C40" s="2244"/>
      <c r="D40" s="2244"/>
      <c r="E40" s="2244"/>
      <c r="F40" s="491"/>
      <c r="G40" s="492"/>
      <c r="H40" s="493"/>
      <c r="M40" s="302" t="s">
        <v>828</v>
      </c>
      <c r="N40" s="315" t="s">
        <v>829</v>
      </c>
      <c r="O40" s="362" t="str">
        <f t="shared" ref="O40" si="9">IF(M40=0,"",IF($A$1="D",M40,N40))</f>
        <v>Pflegepersonal</v>
      </c>
      <c r="P40" s="495"/>
      <c r="Q40" s="496"/>
      <c r="R40" s="497"/>
      <c r="T40" s="501"/>
    </row>
    <row r="41" spans="1:20" s="494" customFormat="1" ht="80" customHeight="1">
      <c r="A41" s="605" t="str">
        <f>"4.3-6. "&amp;O41</f>
        <v>4.3-6. Zusätzliches Personal</v>
      </c>
      <c r="B41" s="2244" t="str">
        <f>IF('4b Visitation'!L270=0,"",'4b Visitation'!L270)</f>
        <v/>
      </c>
      <c r="C41" s="2244"/>
      <c r="D41" s="2244"/>
      <c r="E41" s="2244"/>
      <c r="F41" s="491"/>
      <c r="G41" s="492"/>
      <c r="H41" s="493"/>
      <c r="M41" s="302" t="s">
        <v>830</v>
      </c>
      <c r="N41" s="315" t="s">
        <v>831</v>
      </c>
      <c r="O41" s="362" t="str">
        <f t="shared" ref="O41:O42" si="10">IF(M41=0,"",IF($A$1="D",M41,N41))</f>
        <v>Zusätzliches Personal</v>
      </c>
      <c r="P41" s="495"/>
      <c r="Q41" s="496"/>
      <c r="R41" s="497"/>
      <c r="T41" s="501"/>
    </row>
    <row r="42" spans="1:20" s="494" customFormat="1" ht="80" customHeight="1">
      <c r="A42" s="605" t="str">
        <f>"5. "&amp;O42</f>
        <v>5. Diagnostik und Monitoring</v>
      </c>
      <c r="B42" s="2244" t="str">
        <f>IF('4b Visitation'!L283=0,"",'4b Visitation'!L283)</f>
        <v/>
      </c>
      <c r="C42" s="2244"/>
      <c r="D42" s="2244"/>
      <c r="E42" s="2244"/>
      <c r="F42" s="491"/>
      <c r="G42" s="492"/>
      <c r="H42" s="493"/>
      <c r="M42" s="312" t="str">
        <f>Kriterien!R189</f>
        <v>Diagnostik und Monitoring</v>
      </c>
      <c r="N42" s="312" t="str">
        <f>Kriterien!S189</f>
        <v>Diagnostic et monitorage</v>
      </c>
      <c r="O42" s="362" t="str">
        <f t="shared" si="10"/>
        <v>Diagnostik und Monitoring</v>
      </c>
      <c r="P42" s="495"/>
      <c r="Q42" s="496"/>
      <c r="R42" s="497"/>
      <c r="T42" s="501"/>
    </row>
    <row r="43" spans="1:20" s="494" customFormat="1" ht="80" customHeight="1">
      <c r="A43" s="605" t="str">
        <f>"6. "&amp;O43</f>
        <v>6. Notwendige Einrichtungen für Therapien</v>
      </c>
      <c r="B43" s="2244" t="str">
        <f>IF('4b Visitation'!L288=0,"",'4b Visitation'!L288)</f>
        <v/>
      </c>
      <c r="C43" s="2244"/>
      <c r="D43" s="2244"/>
      <c r="E43" s="2244"/>
      <c r="F43" s="491"/>
      <c r="G43" s="492"/>
      <c r="H43" s="493"/>
      <c r="M43" s="312" t="str">
        <f>Kriterien!R203</f>
        <v>Notwendige Einrichtungen für Therapien</v>
      </c>
      <c r="N43" s="312" t="str">
        <f>Kriterien!S190</f>
        <v>Examens de laboratoire</v>
      </c>
      <c r="O43" s="362" t="str">
        <f t="shared" ref="O43" si="11">IF(M43=0,"",IF($A$1="D",M43,N43))</f>
        <v>Notwendige Einrichtungen für Therapien</v>
      </c>
      <c r="P43" s="495"/>
      <c r="Q43" s="496"/>
      <c r="R43" s="497"/>
      <c r="T43" s="501"/>
    </row>
    <row r="44" spans="1:20" s="494" customFormat="1" ht="80" customHeight="1">
      <c r="A44" s="605" t="str">
        <f>"7. "&amp;O44</f>
        <v>7. Transporte</v>
      </c>
      <c r="B44" s="2244" t="str">
        <f>IF('4b Visitation'!L291=0,"",'4b Visitation'!L291)</f>
        <v/>
      </c>
      <c r="C44" s="2244"/>
      <c r="D44" s="2244"/>
      <c r="E44" s="2244"/>
      <c r="F44" s="491"/>
      <c r="G44" s="492"/>
      <c r="H44" s="493"/>
      <c r="M44" s="312" t="str">
        <f>Kriterien!R206</f>
        <v>Transporte</v>
      </c>
      <c r="N44" s="312" t="str">
        <f>Kriterien!S206</f>
        <v>Transports</v>
      </c>
      <c r="O44" s="362" t="str">
        <f t="shared" ref="O44" si="12">IF(M44=0,"",IF($A$1="D",M44,N44))</f>
        <v>Transporte</v>
      </c>
      <c r="P44" s="495"/>
      <c r="Q44" s="496"/>
      <c r="R44" s="497"/>
      <c r="T44" s="501"/>
    </row>
    <row r="45" spans="1:20" s="494" customFormat="1" ht="120" customHeight="1">
      <c r="A45" s="605" t="str">
        <f>"8. "&amp;O45</f>
        <v>8. Lehre und Forschung</v>
      </c>
      <c r="B45" s="2244" t="str">
        <f>IF('4b Visitation'!L301=0,"",'4b Visitation'!L301)</f>
        <v/>
      </c>
      <c r="C45" s="2244"/>
      <c r="D45" s="2244"/>
      <c r="E45" s="2244"/>
      <c r="F45" s="491"/>
      <c r="G45" s="492"/>
      <c r="H45" s="493"/>
      <c r="M45" s="312" t="str">
        <f>Kriterien!R211</f>
        <v>Lehre und Forschung</v>
      </c>
      <c r="N45" s="312" t="str">
        <f>Kriterien!S211</f>
        <v>Enseignement et recherche</v>
      </c>
      <c r="O45" s="362" t="str">
        <f t="shared" ref="O45" si="13">IF(M45=0,"",IF($A$1="D",M45,N45))</f>
        <v>Lehre und Forschung</v>
      </c>
      <c r="P45" s="495"/>
      <c r="Q45" s="496"/>
      <c r="R45" s="497"/>
      <c r="T45" s="501"/>
    </row>
    <row r="46" spans="1:20" s="494" customFormat="1" ht="120" customHeight="1">
      <c r="A46" s="605" t="str">
        <f>"9. "&amp;O46</f>
        <v>9. Weitere Vorgaben</v>
      </c>
      <c r="B46" s="2244" t="str">
        <f>IF('4b Visitation'!L306=0,"",'4b Visitation'!L306)</f>
        <v/>
      </c>
      <c r="C46" s="2244"/>
      <c r="D46" s="2244"/>
      <c r="E46" s="2244"/>
      <c r="F46" s="491"/>
      <c r="G46" s="492"/>
      <c r="H46" s="493"/>
      <c r="M46" s="312" t="str">
        <f>Kriterien!R220</f>
        <v>Weitere Vorgaben</v>
      </c>
      <c r="N46" s="312" t="str">
        <f>Kriterien!S220</f>
        <v>Autres dispositions</v>
      </c>
      <c r="O46" s="362" t="str">
        <f t="shared" ref="O46" si="14">IF(M46=0,"",IF($A$1="D",M46,N46))</f>
        <v>Weitere Vorgaben</v>
      </c>
      <c r="P46" s="495"/>
      <c r="Q46" s="496"/>
      <c r="R46" s="497"/>
      <c r="T46" s="501"/>
    </row>
    <row r="47" spans="1:20" s="494" customFormat="1" ht="30" customHeight="1">
      <c r="A47" s="605"/>
      <c r="B47" s="605"/>
      <c r="C47" s="498"/>
      <c r="D47" s="466"/>
      <c r="E47" s="491"/>
      <c r="F47" s="491"/>
      <c r="G47" s="492"/>
      <c r="H47" s="493"/>
      <c r="M47" s="312"/>
      <c r="N47" s="503"/>
      <c r="O47" s="362"/>
      <c r="P47" s="495"/>
      <c r="Q47" s="496"/>
      <c r="R47" s="497"/>
      <c r="T47" s="491"/>
    </row>
    <row r="48" spans="1:20" s="494" customFormat="1" ht="47.25" customHeight="1">
      <c r="A48" s="605"/>
      <c r="B48" s="605"/>
      <c r="C48" s="498"/>
      <c r="D48" s="466"/>
      <c r="E48" s="491"/>
      <c r="F48" s="491"/>
      <c r="G48" s="492"/>
      <c r="H48" s="493"/>
      <c r="M48" s="312"/>
      <c r="N48" s="503"/>
      <c r="O48" s="362"/>
      <c r="P48" s="495"/>
      <c r="Q48" s="496"/>
      <c r="R48" s="497"/>
      <c r="T48" s="491"/>
    </row>
    <row r="49" spans="1:20" s="494" customFormat="1" ht="54" customHeight="1">
      <c r="A49" s="500" t="str">
        <f t="shared" ref="A49:A55" si="15">O49</f>
        <v>Zusammenfassung</v>
      </c>
      <c r="B49" s="498"/>
      <c r="C49" s="498"/>
      <c r="D49" s="466"/>
      <c r="E49" s="491"/>
      <c r="F49" s="491"/>
      <c r="G49" s="492"/>
      <c r="H49" s="493"/>
      <c r="M49" s="302" t="s">
        <v>832</v>
      </c>
      <c r="N49" s="315" t="s">
        <v>833</v>
      </c>
      <c r="O49" s="362" t="str">
        <f t="shared" ref="O49:O50" si="16">IF(M49=0,"",IF($A$1="D",M49,N49))</f>
        <v>Zusammenfassung</v>
      </c>
      <c r="P49" s="495"/>
      <c r="Q49" s="496"/>
      <c r="R49" s="497"/>
      <c r="T49" s="491"/>
    </row>
    <row r="50" spans="1:20" s="494" customFormat="1" ht="106" customHeight="1">
      <c r="A50" s="498" t="str">
        <f t="shared" si="15"/>
        <v>Stärken</v>
      </c>
      <c r="B50" s="2244" t="str">
        <f>'4b Visitation'!F347</f>
        <v>/</v>
      </c>
      <c r="C50" s="2244"/>
      <c r="D50" s="2244"/>
      <c r="E50" s="2244"/>
      <c r="F50" s="491"/>
      <c r="G50" s="492"/>
      <c r="H50" s="493"/>
      <c r="M50" s="312" t="str">
        <f>'4b Visitation'!AA347</f>
        <v>Stärken</v>
      </c>
      <c r="N50" s="312" t="str">
        <f>'4b Visitation'!AB347</f>
        <v>Forces</v>
      </c>
      <c r="O50" s="362" t="str">
        <f t="shared" si="16"/>
        <v>Stärken</v>
      </c>
      <c r="P50" s="495"/>
      <c r="Q50" s="496"/>
      <c r="R50" s="497"/>
      <c r="T50" s="501"/>
    </row>
    <row r="51" spans="1:20" s="494" customFormat="1" ht="106" customHeight="1">
      <c r="A51" s="498" t="str">
        <f t="shared" si="15"/>
        <v>Mängel</v>
      </c>
      <c r="B51" s="2244" t="str">
        <f>'4b Visitation'!F348</f>
        <v>/</v>
      </c>
      <c r="C51" s="2244"/>
      <c r="D51" s="2244"/>
      <c r="E51" s="2244"/>
      <c r="F51" s="491"/>
      <c r="G51" s="492"/>
      <c r="H51" s="493"/>
      <c r="M51" s="312" t="str">
        <f>'4b Visitation'!AA348</f>
        <v>Mängel</v>
      </c>
      <c r="N51" s="312" t="str">
        <f>'4b Visitation'!AB348</f>
        <v>Manques</v>
      </c>
      <c r="O51" s="362" t="str">
        <f t="shared" ref="O51" si="17">IF(M51=0,"",IF($A$1="D",M51,N51))</f>
        <v>Mängel</v>
      </c>
      <c r="P51" s="495"/>
      <c r="Q51" s="496"/>
      <c r="R51" s="497"/>
      <c r="T51" s="501"/>
    </row>
    <row r="52" spans="1:20" s="473" customFormat="1" ht="127" customHeight="1">
      <c r="A52" s="1191" t="str">
        <f t="shared" si="15"/>
        <v>Vorschläge der Delegation</v>
      </c>
      <c r="B52" s="2328" t="str">
        <f>'4b Visitation'!F357&amp;"
"&amp;'4b Visitation'!F358&amp;"
"&amp;'4b Visitation'!F359</f>
        <v xml:space="preserve">UNVOLLSTÄNDIG, bitte Spalte L ausfüllen →  Anzahl Betten: 0
Ärztliche Leitung: 
Leitung Pflege (Führungsverantwortung / Management): </v>
      </c>
      <c r="C52" s="2328"/>
      <c r="D52" s="2328"/>
      <c r="E52" s="2328"/>
      <c r="F52" s="506"/>
      <c r="G52" s="472"/>
      <c r="H52" s="608"/>
      <c r="M52" s="312" t="str">
        <f>'4b Visitation'!AA349</f>
        <v>Vorschläge der Delegation</v>
      </c>
      <c r="N52" s="312" t="str">
        <f>'4b Visitation'!AB349</f>
        <v>Propositions de la délegation</v>
      </c>
      <c r="O52" s="461" t="str">
        <f t="shared" si="4"/>
        <v>Vorschläge der Delegation</v>
      </c>
      <c r="P52" s="477"/>
      <c r="Q52" s="478"/>
      <c r="R52" s="479"/>
      <c r="T52" s="505"/>
    </row>
    <row r="53" spans="1:20" s="473" customFormat="1" ht="155" customHeight="1">
      <c r="A53" s="498" t="str">
        <f t="shared" si="15"/>
        <v>Begründung</v>
      </c>
      <c r="B53" s="2236" t="str">
        <f>'4b Visitation'!F353</f>
        <v>/</v>
      </c>
      <c r="C53" s="2236"/>
      <c r="D53" s="2236"/>
      <c r="E53" s="2236"/>
      <c r="F53" s="506"/>
      <c r="G53" s="472"/>
      <c r="H53" s="608"/>
      <c r="M53" s="312" t="str">
        <f>'4b Visitation'!AA353</f>
        <v>Begründung</v>
      </c>
      <c r="N53" s="312" t="str">
        <f>'4b Visitation'!AB353</f>
        <v>Justification</v>
      </c>
      <c r="O53" s="461" t="str">
        <f t="shared" ref="O53" si="18">IF(M53=0,"",IF($A$1="D",M53,N53))</f>
        <v>Begründung</v>
      </c>
      <c r="P53" s="477"/>
      <c r="Q53" s="478"/>
      <c r="R53" s="479"/>
      <c r="T53" s="505"/>
    </row>
    <row r="54" spans="1:20" ht="155" customHeight="1">
      <c r="A54" s="498" t="str">
        <f t="shared" si="15"/>
        <v>Auflagen (obligatorisch)</v>
      </c>
      <c r="B54" s="2244" t="str">
        <f>'4b Visitation'!F354</f>
        <v>/</v>
      </c>
      <c r="C54" s="2244"/>
      <c r="D54" s="2244"/>
      <c r="E54" s="2244"/>
      <c r="F54" s="483"/>
      <c r="G54" s="372"/>
      <c r="H54" s="438"/>
      <c r="M54" s="312" t="str">
        <f>'4b Visitation'!AA354</f>
        <v>Auflagen (obligatorisch)</v>
      </c>
      <c r="N54" s="312" t="str">
        <f>'4b Visitation'!AB354</f>
        <v>Conditions (obligatoires)</v>
      </c>
      <c r="O54" s="362" t="str">
        <f t="shared" si="4"/>
        <v>Auflagen (obligatorisch)</v>
      </c>
      <c r="T54" s="502"/>
    </row>
    <row r="55" spans="1:20" ht="169" customHeight="1">
      <c r="A55" s="498" t="str">
        <f t="shared" si="15"/>
        <v>Empfehlungen - Verbesserungsvorschläge</v>
      </c>
      <c r="B55" s="2244" t="str">
        <f>'4b Visitation'!F355</f>
        <v>/</v>
      </c>
      <c r="C55" s="2244"/>
      <c r="D55" s="2244"/>
      <c r="E55" s="2244"/>
      <c r="F55" s="483"/>
      <c r="G55" s="372"/>
      <c r="H55" s="438"/>
      <c r="M55" s="312" t="str">
        <f>'4b Visitation'!AA355</f>
        <v>Empfehlungen - Verbesserungsvorschläge</v>
      </c>
      <c r="N55" s="312" t="str">
        <f>'4b Visitation'!AB355</f>
        <v>Recommendations - Propositions d'amélioration</v>
      </c>
      <c r="O55" s="362" t="str">
        <f t="shared" ref="O55:O57" si="19">IF(M55=0,"",IF($A$1="D",M55,N55))</f>
        <v>Empfehlungen - Verbesserungsvorschläge</v>
      </c>
      <c r="T55" s="502"/>
    </row>
    <row r="56" spans="1:20" s="18" customFormat="1" ht="88.5" customHeight="1">
      <c r="D56" s="19"/>
      <c r="F56" s="21"/>
      <c r="G56" s="27"/>
      <c r="M56" s="302"/>
      <c r="N56" s="315"/>
      <c r="O56" s="362" t="str">
        <f t="shared" si="4"/>
        <v/>
      </c>
      <c r="P56" s="318"/>
      <c r="Q56" s="319"/>
      <c r="R56" s="314" t="str">
        <f t="shared" ref="R56:R65" si="20">IF(P56=0,"",IF($A$1="D",P56,Q56))</f>
        <v/>
      </c>
      <c r="T56" s="20"/>
    </row>
    <row r="57" spans="1:20" s="18" customFormat="1" ht="31" customHeight="1">
      <c r="A57" s="1239" t="str">
        <f>IF(B77=Liste!$G$2,R57,O57&amp;E78)</f>
        <v>Dieser Bericht basiert auf dem Studium des Dossiers und der Visitation der IS vom 00.01.1900</v>
      </c>
      <c r="D57" s="19"/>
      <c r="F57" s="21"/>
      <c r="G57" s="27"/>
      <c r="M57" s="312" t="str">
        <f>'4b Visitation'!AA360</f>
        <v xml:space="preserve">Dieser Bericht basiert auf dem Studium des Dossiers und der Visitation der IS vom </v>
      </c>
      <c r="N57" s="312" t="str">
        <f>'4b Visitation'!AB360</f>
        <v xml:space="preserve">Ce rapport est basé sur l'étude du dossier et la visite de l'USI du </v>
      </c>
      <c r="O57" s="362" t="str">
        <f t="shared" si="19"/>
        <v xml:space="preserve">Dieser Bericht basiert auf dem Studium des Dossiers und der Visitation der IS vom </v>
      </c>
      <c r="P57" s="312" t="str">
        <f>'4b Visitation'!AD360</f>
        <v>Dieser Bericht basiert ausschliesslich auf dem Studium des Dossiers, es wurde keine Visitation der IS durchgeführt.</v>
      </c>
      <c r="Q57" s="312" t="str">
        <f>'4b Visitation'!AE360</f>
        <v xml:space="preserve">Ce rapport est basé uniquement sur l'étude du dossier, une visite de l'USI n'a pas été effectuée. </v>
      </c>
      <c r="R57" s="362" t="str">
        <f t="shared" si="20"/>
        <v>Dieser Bericht basiert ausschliesslich auf dem Studium des Dossiers, es wurde keine Visitation der IS durchgeführt.</v>
      </c>
      <c r="T57" s="20"/>
    </row>
    <row r="58" spans="1:20" s="18" customFormat="1" ht="121.5" customHeight="1">
      <c r="A58" s="2244" t="str">
        <f>B80&amp;O82&amp;E79</f>
        <v>0, den 00.01.1900</v>
      </c>
      <c r="B58" s="2244"/>
      <c r="C58" s="2244"/>
      <c r="D58" s="2244"/>
      <c r="E58" s="2244"/>
      <c r="M58" s="302" t="s">
        <v>774</v>
      </c>
      <c r="N58" s="315" t="s">
        <v>775</v>
      </c>
      <c r="O58" s="362" t="str">
        <f t="shared" si="4"/>
        <v xml:space="preserve">Für die Zertifizierungskomission:
  </v>
      </c>
      <c r="P58" s="318"/>
      <c r="Q58" s="319"/>
      <c r="R58" s="314" t="str">
        <f t="shared" si="20"/>
        <v/>
      </c>
      <c r="T58" s="159"/>
    </row>
    <row r="59" spans="1:20" s="288" customFormat="1" ht="22" customHeight="1">
      <c r="A59" s="605" t="str">
        <f>O58</f>
        <v xml:space="preserve">Für die Zertifizierungskomission:
  </v>
      </c>
      <c r="B59" s="23"/>
      <c r="C59" s="1238">
        <f>B81</f>
        <v>0</v>
      </c>
      <c r="D59" s="1238">
        <f>B82</f>
        <v>0</v>
      </c>
      <c r="E59" s="1238">
        <f>B83</f>
        <v>0</v>
      </c>
      <c r="M59" s="391"/>
      <c r="N59" s="392"/>
      <c r="O59" s="393"/>
      <c r="P59" s="394"/>
      <c r="Q59" s="395"/>
      <c r="R59" s="396"/>
      <c r="T59" s="159"/>
    </row>
    <row r="60" spans="1:20" s="18" customFormat="1" ht="22" customHeight="1">
      <c r="A60" s="605"/>
      <c r="B60" s="23"/>
      <c r="C60" s="189" t="str">
        <f>A81</f>
        <v>Experte 1</v>
      </c>
      <c r="D60" s="189" t="str">
        <f>A82</f>
        <v>Experte 2</v>
      </c>
      <c r="E60" s="189" t="str">
        <f>A83</f>
        <v>Experte 3</v>
      </c>
      <c r="M60" s="302"/>
      <c r="N60" s="315"/>
      <c r="O60" s="362"/>
      <c r="P60" s="318"/>
      <c r="Q60" s="319"/>
      <c r="R60" s="314"/>
      <c r="T60" s="159"/>
    </row>
    <row r="61" spans="1:20">
      <c r="A61" s="198"/>
      <c r="C61" s="108"/>
      <c r="O61" s="362" t="str">
        <f t="shared" ref="O61:O65" si="21">IF(M61=0,"",IF($A$1="D",M61,N61))</f>
        <v/>
      </c>
      <c r="R61" s="314" t="str">
        <f t="shared" si="20"/>
        <v/>
      </c>
    </row>
    <row r="62" spans="1:20">
      <c r="A62" s="198"/>
      <c r="C62" s="372"/>
      <c r="D62" s="372"/>
      <c r="E62" s="372"/>
    </row>
    <row r="63" spans="1:20">
      <c r="D63" s="109"/>
      <c r="O63" s="362" t="str">
        <f t="shared" si="21"/>
        <v/>
      </c>
      <c r="R63" s="314" t="str">
        <f t="shared" si="20"/>
        <v/>
      </c>
    </row>
    <row r="64" spans="1:20">
      <c r="D64" s="109"/>
      <c r="O64" s="362" t="str">
        <f t="shared" si="21"/>
        <v/>
      </c>
      <c r="R64" s="314" t="str">
        <f t="shared" si="20"/>
        <v/>
      </c>
    </row>
    <row r="65" spans="1:20">
      <c r="D65" s="109"/>
      <c r="O65" s="362" t="str">
        <f t="shared" si="21"/>
        <v/>
      </c>
      <c r="R65" s="314" t="str">
        <f t="shared" si="20"/>
        <v/>
      </c>
    </row>
    <row r="66" spans="1:20" s="20" customFormat="1" ht="28" customHeight="1">
      <c r="A66" s="304" t="str">
        <f t="shared" ref="A66:A70" si="22">O66</f>
        <v>Kanton</v>
      </c>
      <c r="B66" s="462">
        <f>'2 Autodeklaration'!C256</f>
        <v>0</v>
      </c>
      <c r="C66" s="462"/>
      <c r="E66" s="445"/>
      <c r="G66" s="370"/>
      <c r="M66" s="312" t="str">
        <f>'1 ANTRAG-DEMANDE'!AD11</f>
        <v>Kanton</v>
      </c>
      <c r="N66" s="316" t="str">
        <f>'1 ANTRAG-DEMANDE'!AE11</f>
        <v>Canton</v>
      </c>
      <c r="O66" s="362" t="str">
        <f t="shared" ref="O66:O69" si="23">IF(M66=0,"",IF($A$1="D",M66,N66))</f>
        <v>Kanton</v>
      </c>
      <c r="T66" s="445"/>
    </row>
    <row r="67" spans="1:20" s="20" customFormat="1" ht="28" customHeight="1">
      <c r="A67" s="304" t="str">
        <f t="shared" si="22"/>
        <v>Stadt</v>
      </c>
      <c r="B67" s="462">
        <f>'2 Autodeklaration'!C257</f>
        <v>0</v>
      </c>
      <c r="C67" s="462"/>
      <c r="E67" s="445"/>
      <c r="G67" s="370"/>
      <c r="M67" s="312" t="str">
        <f>'1 ANTRAG-DEMANDE'!AD12</f>
        <v>Stadt</v>
      </c>
      <c r="N67" s="316" t="str">
        <f>'1 ANTRAG-DEMANDE'!AE12</f>
        <v>Ville</v>
      </c>
      <c r="O67" s="362" t="str">
        <f t="shared" si="23"/>
        <v>Stadt</v>
      </c>
      <c r="P67" s="317" t="str">
        <f>'1 ANTRAG-DEMANDE'!AD18</f>
        <v>Erwachsene IS</v>
      </c>
      <c r="Q67" s="320" t="str">
        <f>'1 ANTRAG-DEMANDE'!AE18</f>
        <v>USI Adultes</v>
      </c>
      <c r="R67" s="314" t="str">
        <f>IF(P67=0,"",IF($A$1="D",P67,Q67))</f>
        <v>Erwachsene IS</v>
      </c>
      <c r="T67" s="445"/>
    </row>
    <row r="68" spans="1:20" s="20" customFormat="1" ht="28" customHeight="1">
      <c r="A68" s="304" t="str">
        <f t="shared" si="22"/>
        <v>Spital</v>
      </c>
      <c r="B68" s="462">
        <f>'2 Autodeklaration'!C258</f>
        <v>0</v>
      </c>
      <c r="C68" s="462"/>
      <c r="E68" s="445"/>
      <c r="G68" s="370"/>
      <c r="M68" s="312" t="str">
        <f>'1 ANTRAG-DEMANDE'!AD13</f>
        <v>Spital</v>
      </c>
      <c r="N68" s="316" t="str">
        <f>'1 ANTRAG-DEMANDE'!AE13</f>
        <v>Hôpital</v>
      </c>
      <c r="O68" s="362" t="str">
        <f t="shared" si="23"/>
        <v>Spital</v>
      </c>
      <c r="P68" s="317" t="str">
        <f>'1 ANTRAG-DEMANDE'!AD19</f>
        <v>Pädiatrische IS</v>
      </c>
      <c r="Q68" s="320" t="str">
        <f>'1 ANTRAG-DEMANDE'!AE19</f>
        <v>USI pédiatriques</v>
      </c>
      <c r="R68" s="314" t="str">
        <f>IF(P68=0,"",IF($A$1="D",P68,Q68))</f>
        <v>Pädiatrische IS</v>
      </c>
      <c r="T68" s="445"/>
    </row>
    <row r="69" spans="1:20" s="20" customFormat="1" ht="28" customHeight="1">
      <c r="A69" s="304" t="str">
        <f t="shared" si="22"/>
        <v>Station</v>
      </c>
      <c r="B69" s="462">
        <f>'2 Autodeklaration'!C259</f>
        <v>0</v>
      </c>
      <c r="C69" s="462"/>
      <c r="E69" s="445"/>
      <c r="G69" s="370"/>
      <c r="M69" s="312" t="str">
        <f>'1 ANTRAG-DEMANDE'!AD15</f>
        <v>Station</v>
      </c>
      <c r="N69" s="316" t="str">
        <f>'1 ANTRAG-DEMANDE'!AE15</f>
        <v>Unité</v>
      </c>
      <c r="O69" s="362" t="str">
        <f t="shared" si="23"/>
        <v>Station</v>
      </c>
      <c r="P69" s="317" t="str">
        <f>'1 ANTRAG-DEMANDE'!AD20</f>
        <v>Pädiatrische/Neonatologische IS</v>
      </c>
      <c r="Q69" s="320" t="str">
        <f>'1 ANTRAG-DEMANDE'!AE20</f>
        <v>USI pédiatriques/néonatologiques</v>
      </c>
      <c r="R69" s="314" t="str">
        <f>IF(P69=0,"",IF($A$1="D",P69,Q69))</f>
        <v>Pädiatrische/Neonatologische IS</v>
      </c>
      <c r="T69" s="445"/>
    </row>
    <row r="70" spans="1:20" s="20" customFormat="1" ht="30" customHeight="1">
      <c r="A70" s="507" t="str">
        <f t="shared" si="22"/>
        <v>Ablauf des Zertifikats</v>
      </c>
      <c r="B70" s="470">
        <f>'1 ANTRAG-DEMANDE'!B33</f>
        <v>0</v>
      </c>
      <c r="C70" s="470"/>
      <c r="E70" s="488" t="str">
        <f>IF('1 ANTRAG-DEMANDE'!B33=0,"","  - "&amp;O70&amp;"
")</f>
        <v/>
      </c>
      <c r="G70" s="370"/>
      <c r="M70" s="312" t="str">
        <f>'1 ANTRAG-DEMANDE'!AD33</f>
        <v>Ablauf des Zertifikats</v>
      </c>
      <c r="N70" s="503" t="str">
        <f>'1 ANTRAG-DEMANDE'!AE33</f>
        <v>Fin du Certificat</v>
      </c>
      <c r="O70" s="314" t="str">
        <f t="shared" ref="O70:O79" si="24">IF(M70=0,"",IF($A$1="D",M70,N70))</f>
        <v>Ablauf des Zertifikats</v>
      </c>
    </row>
    <row r="71" spans="1:20" s="20" customFormat="1" ht="30" customHeight="1">
      <c r="A71" s="507" t="str">
        <f t="shared" ref="A71:A74" si="25">O71</f>
        <v>Wechsel der ärztlichen Leitung</v>
      </c>
      <c r="B71" s="470">
        <f>'1 ANTRAG-DEMANDE'!B34</f>
        <v>0</v>
      </c>
      <c r="C71" s="470"/>
      <c r="E71" s="1155" t="str">
        <f>IF('1 ANTRAG-DEMANDE'!B34=0,"","  - "&amp;O71&amp;"
")</f>
        <v/>
      </c>
      <c r="G71" s="370"/>
      <c r="M71" s="312" t="str">
        <f>'1 ANTRAG-DEMANDE'!AD34</f>
        <v>Wechsel der ärztlichen Leitung</v>
      </c>
      <c r="N71" s="503" t="str">
        <f>'1 ANTRAG-DEMANDE'!AE34</f>
        <v>Changement du médecin responsable</v>
      </c>
      <c r="O71" s="314" t="str">
        <f t="shared" si="24"/>
        <v>Wechsel der ärztlichen Leitung</v>
      </c>
      <c r="P71" s="318"/>
      <c r="Q71" s="319"/>
      <c r="R71" s="314"/>
    </row>
    <row r="72" spans="1:20" s="20" customFormat="1" ht="30" customHeight="1">
      <c r="A72" s="507" t="str">
        <f t="shared" si="25"/>
        <v>Wechsel der Leitung Pflege</v>
      </c>
      <c r="B72" s="470">
        <f>'1 ANTRAG-DEMANDE'!B35</f>
        <v>0</v>
      </c>
      <c r="C72" s="470"/>
      <c r="E72" s="1155" t="str">
        <f>IF('1 ANTRAG-DEMANDE'!B35=0,"","  - "&amp;O72&amp;"
")</f>
        <v/>
      </c>
      <c r="G72" s="370"/>
      <c r="M72" s="312" t="str">
        <f>'1 ANTRAG-DEMANDE'!AD35</f>
        <v>Wechsel der Leitung Pflege</v>
      </c>
      <c r="N72" s="503" t="str">
        <f>'1 ANTRAG-DEMANDE'!AE35</f>
        <v>Changement du soignant responsable</v>
      </c>
      <c r="O72" s="314" t="str">
        <f t="shared" si="24"/>
        <v>Wechsel der Leitung Pflege</v>
      </c>
      <c r="P72" s="318"/>
      <c r="Q72" s="319"/>
      <c r="R72" s="314"/>
    </row>
    <row r="73" spans="1:20" s="20" customFormat="1" ht="30" customHeight="1">
      <c r="A73" s="507" t="str">
        <f t="shared" si="25"/>
        <v>Änderung der Bettenanzahl</v>
      </c>
      <c r="B73" s="470">
        <f>'1 ANTRAG-DEMANDE'!B36</f>
        <v>0</v>
      </c>
      <c r="C73" s="470"/>
      <c r="E73" s="1155" t="str">
        <f>IF('1 ANTRAG-DEMANDE'!B36=0,"","  - "&amp;O73&amp;"
")</f>
        <v/>
      </c>
      <c r="G73" s="370"/>
      <c r="M73" s="312" t="str">
        <f>'1 ANTRAG-DEMANDE'!AD36</f>
        <v>Änderung der Bettenanzahl</v>
      </c>
      <c r="N73" s="503" t="str">
        <f>'1 ANTRAG-DEMANDE'!AE36</f>
        <v>Changement du nombre de lit</v>
      </c>
      <c r="O73" s="314" t="str">
        <f t="shared" si="24"/>
        <v>Änderung der Bettenanzahl</v>
      </c>
      <c r="P73" s="318"/>
      <c r="Q73" s="319"/>
      <c r="R73" s="314"/>
    </row>
    <row r="74" spans="1:20" s="20" customFormat="1" ht="30" customHeight="1">
      <c r="A74" s="507" t="str">
        <f t="shared" si="25"/>
        <v>Neubau</v>
      </c>
      <c r="B74" s="470">
        <f>'1 ANTRAG-DEMANDE'!B37</f>
        <v>0</v>
      </c>
      <c r="C74" s="470"/>
      <c r="E74" s="1155" t="str">
        <f>IF('1 ANTRAG-DEMANDE'!B37=0,"","  - "&amp;O74&amp;"
")</f>
        <v/>
      </c>
      <c r="G74" s="370"/>
      <c r="M74" s="312" t="str">
        <f>'1 ANTRAG-DEMANDE'!AD37</f>
        <v>Neubau</v>
      </c>
      <c r="N74" s="503" t="str">
        <f>'1 ANTRAG-DEMANDE'!AE37</f>
        <v>Nouvelle Construction</v>
      </c>
      <c r="O74" s="314" t="str">
        <f t="shared" si="24"/>
        <v>Neubau</v>
      </c>
      <c r="P74" s="318"/>
      <c r="Q74" s="319"/>
      <c r="R74" s="314"/>
    </row>
    <row r="75" spans="1:20" s="20" customFormat="1" ht="30" customHeight="1">
      <c r="A75" s="507" t="str">
        <f>O75</f>
        <v>Renovierung</v>
      </c>
      <c r="B75" s="470">
        <f>'1 ANTRAG-DEMANDE'!B38</f>
        <v>0</v>
      </c>
      <c r="C75" s="470"/>
      <c r="E75" s="1155" t="str">
        <f>IF('1 ANTRAG-DEMANDE'!B38=0,"","  - "&amp;O75&amp;"
")</f>
        <v/>
      </c>
      <c r="G75" s="370"/>
      <c r="M75" s="312" t="str">
        <f>'1 ANTRAG-DEMANDE'!AD38</f>
        <v>Renovierung</v>
      </c>
      <c r="N75" s="503" t="str">
        <f>'1 ANTRAG-DEMANDE'!AE38</f>
        <v>Renovation</v>
      </c>
      <c r="O75" s="314" t="str">
        <f t="shared" si="24"/>
        <v>Renovierung</v>
      </c>
      <c r="P75" s="318"/>
      <c r="Q75" s="319"/>
      <c r="R75" s="314"/>
    </row>
    <row r="76" spans="1:20" s="20" customFormat="1" ht="28" customHeight="1">
      <c r="A76" s="507" t="str">
        <f>O76</f>
        <v>Andere</v>
      </c>
      <c r="B76" s="470">
        <f>'1 ANTRAG-DEMANDE'!B39</f>
        <v>0</v>
      </c>
      <c r="C76" s="470"/>
      <c r="E76" s="1155" t="str">
        <f>IF('1 ANTRAG-DEMANDE'!B39=0,"","  - "&amp;O76&amp;"
")</f>
        <v/>
      </c>
      <c r="G76" s="370"/>
      <c r="M76" s="312" t="str">
        <f>'1 ANTRAG-DEMANDE'!AD39</f>
        <v>Andere</v>
      </c>
      <c r="N76" s="503" t="str">
        <f>'1 ANTRAG-DEMANDE'!AE39</f>
        <v>Autres</v>
      </c>
      <c r="O76" s="314" t="str">
        <f t="shared" si="24"/>
        <v>Andere</v>
      </c>
      <c r="P76" s="318"/>
      <c r="Q76" s="319"/>
      <c r="R76" s="314" t="str">
        <f t="shared" ref="R76:R81" si="26">IF(P76=0,"",IF($A$1="D",P76,Q76))</f>
        <v/>
      </c>
    </row>
    <row r="77" spans="1:20" s="20" customFormat="1" ht="28" customHeight="1">
      <c r="A77" s="507" t="str">
        <f>O77</f>
        <v>Bericht ohne Visitation ?</v>
      </c>
      <c r="B77" s="470">
        <f>'4b Visitation'!C9</f>
        <v>0</v>
      </c>
      <c r="C77" s="470"/>
      <c r="E77" s="1155"/>
      <c r="G77" s="370"/>
      <c r="M77" s="312" t="str">
        <f>'4b Visitation'!AA9</f>
        <v>Bericht ohne Visitation ?</v>
      </c>
      <c r="N77" s="312" t="str">
        <f>'4b Visitation'!AB9</f>
        <v>Rapport sans visite?</v>
      </c>
      <c r="O77" s="314" t="str">
        <f t="shared" si="24"/>
        <v>Bericht ohne Visitation ?</v>
      </c>
      <c r="P77" s="318"/>
      <c r="Q77" s="319"/>
      <c r="R77" s="314"/>
    </row>
    <row r="78" spans="1:20" s="20" customFormat="1" ht="28" customHeight="1">
      <c r="A78" s="507" t="str">
        <f>O19</f>
        <v>Datum Visitation</v>
      </c>
      <c r="B78" s="1236">
        <f>'4b Visitation'!C10</f>
        <v>0</v>
      </c>
      <c r="C78" s="470"/>
      <c r="E78" s="1155" t="str">
        <f>IF(DAY(B78)&lt;10,"0","")&amp;DAY(B78)&amp;"."&amp;IF(MONTH(B78)&lt;10,"0","")&amp;MONTH(B78)&amp;"."&amp;YEAR(B78)</f>
        <v>00.01.1900</v>
      </c>
      <c r="G78" s="370"/>
      <c r="M78" s="312"/>
      <c r="N78" s="312"/>
      <c r="O78" s="314"/>
      <c r="P78" s="318"/>
      <c r="Q78" s="319"/>
      <c r="R78" s="314"/>
    </row>
    <row r="79" spans="1:20" s="20" customFormat="1" ht="28" customHeight="1">
      <c r="A79" s="507" t="str">
        <f>O79</f>
        <v>Datum Abschluss des Berichts</v>
      </c>
      <c r="B79" s="1236">
        <f>'4b Visitation'!K358</f>
        <v>0</v>
      </c>
      <c r="C79" s="470"/>
      <c r="E79" s="1155" t="str">
        <f>IF(DAY(B79)&lt;10,"0","")&amp;DAY(B79)&amp;"."&amp;IF(MONTH(B79)&lt;10,"0","")&amp;MONTH(B79)&amp;"."&amp;YEAR(B79)</f>
        <v>00.01.1900</v>
      </c>
      <c r="G79" s="370"/>
      <c r="M79" s="312" t="str">
        <f>'4b Visitation'!AA356</f>
        <v>Datum Abschluss des Berichts</v>
      </c>
      <c r="N79" s="312" t="str">
        <f>'4b Visitation'!AB356</f>
        <v>Date établissement du rapport</v>
      </c>
      <c r="O79" s="314" t="str">
        <f t="shared" si="24"/>
        <v>Datum Abschluss des Berichts</v>
      </c>
      <c r="P79" s="318"/>
      <c r="Q79" s="319"/>
      <c r="R79" s="314"/>
    </row>
    <row r="80" spans="1:20" s="20" customFormat="1" ht="28" customHeight="1">
      <c r="A80" s="507" t="str">
        <f>O81</f>
        <v>Ort Bericht (z.B. Stadt des Leaders)</v>
      </c>
      <c r="B80" s="1236">
        <f>'4b Visitation'!L358</f>
        <v>0</v>
      </c>
      <c r="C80" s="470"/>
      <c r="E80" s="1155"/>
      <c r="G80" s="370"/>
      <c r="M80" s="312"/>
      <c r="N80" s="312"/>
      <c r="O80" s="314"/>
      <c r="P80" s="318"/>
      <c r="Q80" s="319"/>
      <c r="R80" s="314"/>
    </row>
    <row r="81" spans="1:20" s="20" customFormat="1" ht="28" customHeight="1">
      <c r="A81" s="304" t="str">
        <f>O83&amp;"1"</f>
        <v>Experte 1</v>
      </c>
      <c r="B81" s="1156">
        <f>'4b Visitation'!C14</f>
        <v>0</v>
      </c>
      <c r="C81" s="1156"/>
      <c r="D81" s="1155" t="e">
        <f>'4b Visitation'!F14</f>
        <v>#N/A</v>
      </c>
      <c r="E81" s="1155" t="e">
        <f>'4b Visitation'!G14</f>
        <v>#N/A</v>
      </c>
      <c r="F81" s="445"/>
      <c r="G81" s="445"/>
      <c r="M81" s="312" t="str">
        <f>'4b Visitation'!AD356</f>
        <v>Ort Bericht (z.B. Stadt des Leaders)</v>
      </c>
      <c r="N81" s="312" t="str">
        <f>'4b Visitation'!AE356</f>
        <v>Lieu du rapport (p.ex. ville du lead)</v>
      </c>
      <c r="O81" s="314" t="str">
        <f>IF(M81=0,"",IF($A$1="D",M81,N81))</f>
        <v>Ort Bericht (z.B. Stadt des Leaders)</v>
      </c>
      <c r="P81" s="318"/>
      <c r="Q81" s="319"/>
      <c r="R81" s="314" t="str">
        <f t="shared" si="26"/>
        <v/>
      </c>
      <c r="T81" s="445"/>
    </row>
    <row r="82" spans="1:20" s="20" customFormat="1" ht="28" customHeight="1">
      <c r="A82" s="304" t="str">
        <f>O83&amp;"2"</f>
        <v>Experte 2</v>
      </c>
      <c r="B82" s="1156">
        <f>'4b Visitation'!C15</f>
        <v>0</v>
      </c>
      <c r="C82" s="1156"/>
      <c r="D82" s="1155" t="e">
        <f>'4b Visitation'!F15</f>
        <v>#N/A</v>
      </c>
      <c r="E82" s="1155" t="e">
        <f>'4b Visitation'!G15</f>
        <v>#N/A</v>
      </c>
      <c r="G82" s="370"/>
      <c r="M82" s="312" t="str">
        <f>'4b Visitation'!AA362</f>
        <v xml:space="preserve">, den </v>
      </c>
      <c r="N82" s="312" t="str">
        <f>'4b Visitation'!AB362</f>
        <v xml:space="preserve"> le </v>
      </c>
      <c r="O82" s="314" t="str">
        <f>IF(M82=0,"",IF($A$1="D",M82,N82))</f>
        <v xml:space="preserve">, den </v>
      </c>
      <c r="P82" s="318"/>
      <c r="Q82" s="319"/>
      <c r="R82" s="314" t="str">
        <f>IF(P82=0,"",IF($A$1="D",P82,Q82))</f>
        <v/>
      </c>
      <c r="T82" s="445"/>
    </row>
    <row r="83" spans="1:20" s="20" customFormat="1" ht="28" customHeight="1">
      <c r="A83" s="304" t="str">
        <f>O83&amp;"3"</f>
        <v>Experte 3</v>
      </c>
      <c r="B83" s="1156">
        <f>'4b Visitation'!C16</f>
        <v>0</v>
      </c>
      <c r="C83" s="1156"/>
      <c r="D83" s="1155" t="e">
        <f>'4b Visitation'!F16</f>
        <v>#N/A</v>
      </c>
      <c r="E83" s="1155" t="e">
        <f>'4b Visitation'!G16</f>
        <v>#N/A</v>
      </c>
      <c r="G83" s="370"/>
      <c r="M83" s="302" t="s">
        <v>756</v>
      </c>
      <c r="N83" s="315" t="s">
        <v>757</v>
      </c>
      <c r="O83" s="314" t="str">
        <f>IF(M83=0,"",IF($A$1="D",M83,N83))</f>
        <v xml:space="preserve">Experte </v>
      </c>
      <c r="P83" s="318"/>
      <c r="Q83" s="319"/>
      <c r="R83" s="314" t="str">
        <f t="shared" ref="R83" si="27">IF(P83=0,"",IF($A$1="D",P83,Q83))</f>
        <v/>
      </c>
      <c r="T83" s="445"/>
    </row>
  </sheetData>
  <sheetProtection algorithmName="SHA-512" hashValue="p6BJRfiyGY1dxfZ3fiGz7yx70jJl3hw2JU8X09aCMzreO/IbLGAZak6qCK7h3Ez1Kdmp+yu/YbO3LyMMXajIDw==" saltValue="m3BwyzzTfTRU4XPV1oI4yQ==" spinCount="100000" sheet="1" scenarios="1" selectLockedCells="1" selectUnlockedCells="1"/>
  <mergeCells count="27">
    <mergeCell ref="F6:H6"/>
    <mergeCell ref="A58:E58"/>
    <mergeCell ref="B15:C15"/>
    <mergeCell ref="B14:C14"/>
    <mergeCell ref="B32:C32"/>
    <mergeCell ref="B33:C33"/>
    <mergeCell ref="B36:E36"/>
    <mergeCell ref="B37:E37"/>
    <mergeCell ref="B38:E38"/>
    <mergeCell ref="B39:E39"/>
    <mergeCell ref="B40:E40"/>
    <mergeCell ref="B54:E54"/>
    <mergeCell ref="B55:E55"/>
    <mergeCell ref="B25:E25"/>
    <mergeCell ref="B53:E53"/>
    <mergeCell ref="B1:E1"/>
    <mergeCell ref="B46:E46"/>
    <mergeCell ref="B50:E50"/>
    <mergeCell ref="B51:E51"/>
    <mergeCell ref="B52:E52"/>
    <mergeCell ref="B41:E41"/>
    <mergeCell ref="B42:E42"/>
    <mergeCell ref="B43:E43"/>
    <mergeCell ref="B44:E44"/>
    <mergeCell ref="B45:E45"/>
    <mergeCell ref="A6:E6"/>
    <mergeCell ref="C2:E2"/>
  </mergeCells>
  <phoneticPr fontId="59" type="noConversion"/>
  <conditionalFormatting sqref="A1">
    <cfRule type="containsText" dxfId="29" priority="1" operator="containsText" text="F">
      <formula>NOT(ISERROR(SEARCH("F",A1)))</formula>
    </cfRule>
  </conditionalFormatting>
  <pageMargins left="0.59055118110236227" right="0.39370078740157483" top="0.39370078740157483" bottom="0.98425196850393704" header="0.51181102362204722" footer="0.51181102362204722"/>
  <pageSetup paperSize="9" scale="50" fitToHeight="0" orientation="portrait" r:id="rId1"/>
  <headerFooter>
    <oddFooter>&amp;R&amp;"Calibri,Normal"&amp;K000000&amp;P /&amp;N</oddFooter>
  </headerFooter>
  <rowBreaks count="2" manualBreakCount="2">
    <brk id="28" max="16383" man="1"/>
    <brk id="47" max="16383"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4" tint="0.59999389629810485"/>
  </sheetPr>
  <dimension ref="A1:BA50"/>
  <sheetViews>
    <sheetView tabSelected="1" zoomScale="116" workbookViewId="0">
      <pane xSplit="1" ySplit="6" topLeftCell="B7" activePane="bottomRight" state="frozen"/>
      <selection activeCell="AM140" sqref="AM140"/>
      <selection pane="topRight" activeCell="AM140" sqref="AM140"/>
      <selection pane="bottomLeft" activeCell="AM140" sqref="AM140"/>
      <selection pane="bottomRight"/>
    </sheetView>
  </sheetViews>
  <sheetFormatPr baseColWidth="10" defaultColWidth="10.83203125" defaultRowHeight="16"/>
  <cols>
    <col min="1" max="1" width="9.6640625" customWidth="1"/>
    <col min="2" max="2" width="48.6640625" customWidth="1"/>
    <col min="3" max="3" width="14" customWidth="1"/>
    <col min="4" max="4" width="9.6640625" style="510" customWidth="1"/>
    <col min="5" max="5" width="15.6640625" style="464" customWidth="1"/>
    <col min="6" max="6" width="29.5" style="464" customWidth="1"/>
    <col min="7" max="7" width="46.6640625" customWidth="1"/>
    <col min="8" max="30" width="12.1640625" customWidth="1"/>
    <col min="31" max="31" width="2.33203125" customWidth="1"/>
    <col min="32" max="32" width="6.5" style="2041" customWidth="1"/>
    <col min="33" max="33" width="12.1640625" hidden="1" customWidth="1"/>
    <col min="34" max="34" width="10.33203125" hidden="1" customWidth="1"/>
    <col min="35" max="35" width="3.6640625" hidden="1" customWidth="1"/>
    <col min="36" max="36" width="4.6640625" hidden="1" customWidth="1"/>
    <col min="37" max="37" width="5.5" hidden="1" customWidth="1"/>
    <col min="38" max="39" width="31.6640625" hidden="1" customWidth="1"/>
    <col min="40" max="40" width="21.1640625" hidden="1" customWidth="1"/>
    <col min="41" max="42" width="31.6640625" hidden="1" customWidth="1"/>
    <col min="43" max="43" width="21.1640625" hidden="1" customWidth="1"/>
    <col min="44" max="44" width="6.83203125" hidden="1" customWidth="1"/>
    <col min="45" max="45" width="4.6640625" style="2041" customWidth="1"/>
    <col min="46" max="46" width="2.33203125" customWidth="1"/>
    <col min="49" max="49" width="15.1640625" customWidth="1"/>
    <col min="53" max="53" width="23.83203125" customWidth="1"/>
  </cols>
  <sheetData>
    <row r="1" spans="1:53" ht="32.5" customHeight="1" thickBot="1">
      <c r="A1" s="1039" t="s">
        <v>442</v>
      </c>
      <c r="B1" s="1111" t="s">
        <v>1077</v>
      </c>
      <c r="C1" s="1112"/>
      <c r="D1" s="1119"/>
      <c r="AF1" s="2338" t="s">
        <v>1340</v>
      </c>
      <c r="AL1" s="808" t="s">
        <v>446</v>
      </c>
      <c r="AM1" s="809" t="s">
        <v>448</v>
      </c>
      <c r="AN1" s="632" t="s">
        <v>773</v>
      </c>
      <c r="AO1" s="808" t="s">
        <v>447</v>
      </c>
      <c r="AP1" s="809" t="s">
        <v>449</v>
      </c>
      <c r="AQ1" s="632" t="s">
        <v>772</v>
      </c>
      <c r="AS1" s="2338" t="s">
        <v>1340</v>
      </c>
    </row>
    <row r="2" spans="1:53" ht="7.5" customHeight="1">
      <c r="A2" s="1944"/>
      <c r="B2" s="1112"/>
      <c r="C2" s="1112"/>
      <c r="D2" s="1119"/>
      <c r="AF2" s="2338"/>
      <c r="AL2" s="2138"/>
      <c r="AM2" s="2141"/>
      <c r="AN2" s="2140"/>
      <c r="AO2" s="2138"/>
      <c r="AP2" s="2141"/>
      <c r="AQ2" s="2140"/>
      <c r="AS2" s="2338"/>
    </row>
    <row r="3" spans="1:53" ht="24" customHeight="1">
      <c r="A3" s="1982"/>
      <c r="B3" s="2016" t="str">
        <f>AN3</f>
        <v>Anweisung zur Antragstellung (Verantwortliche der IPS)</v>
      </c>
      <c r="C3" s="2016"/>
      <c r="D3" s="2016"/>
      <c r="E3" s="2016"/>
      <c r="F3" s="2017"/>
      <c r="G3" s="1982"/>
      <c r="AF3" s="2338"/>
      <c r="AL3" s="420" t="s">
        <v>2042</v>
      </c>
      <c r="AM3" s="421" t="s">
        <v>2043</v>
      </c>
      <c r="AN3" s="364" t="str">
        <f>IF(AL3=0,"",IF($A$1="D",AL3,AM3))</f>
        <v>Anweisung zur Antragstellung (Verantwortliche der IPS)</v>
      </c>
      <c r="AO3" s="420"/>
      <c r="AP3" s="421"/>
      <c r="AQ3" s="846" t="str">
        <f t="shared" ref="AQ3:AQ15" si="0">IF(AO3=0,"",IF($A$1="D",AO3,AP3))</f>
        <v/>
      </c>
      <c r="AS3" s="2338"/>
    </row>
    <row r="4" spans="1:53" s="510" customFormat="1" ht="19.5" customHeight="1">
      <c r="A4" s="2018"/>
      <c r="B4" s="2336" t="str">
        <f>AN4</f>
        <v>Bitte diese Excel-Datei nach folgender Beschreibung ausfüllen und  die verschiedenen Etappen nacheinander durchgehen.</v>
      </c>
      <c r="C4" s="2336"/>
      <c r="D4" s="2336"/>
      <c r="E4" s="2336"/>
      <c r="F4" s="2336"/>
      <c r="G4" s="2336"/>
      <c r="AF4" s="2338"/>
      <c r="AL4" s="258" t="s">
        <v>1376</v>
      </c>
      <c r="AM4" s="781" t="s">
        <v>1377</v>
      </c>
      <c r="AN4" s="476" t="str">
        <f>IF(AL4=0,"",IF($A$1="D",AL4,AM4))</f>
        <v>Bitte diese Excel-Datei nach folgender Beschreibung ausfüllen und  die verschiedenen Etappen nacheinander durchgehen.</v>
      </c>
      <c r="AO4" s="258" t="s">
        <v>1373</v>
      </c>
      <c r="AP4" s="781" t="s">
        <v>1371</v>
      </c>
      <c r="AQ4" s="1118" t="str">
        <f t="shared" si="0"/>
        <v>Bemerkungen</v>
      </c>
      <c r="AS4" s="2338"/>
    </row>
    <row r="5" spans="1:53" s="510" customFormat="1" ht="33.75" customHeight="1">
      <c r="A5" s="2018"/>
      <c r="B5" s="2339" t="str">
        <f>AN5</f>
        <v>Das Excel enthält verschiedene Daten-Blätter. Das Blatt "1 ANTRAG-DEMANDE" wird zuerst ausgefüllt, anschliessend das Blatt "2 Autodeklaration". Die Liste der dem Antrag beizufügenden Dokumente befindet sich in diesem Datenblatt (s.u.).</v>
      </c>
      <c r="C5" s="2339"/>
      <c r="D5" s="2339"/>
      <c r="E5" s="2339"/>
      <c r="F5" s="2339"/>
      <c r="G5" s="2339"/>
      <c r="AF5" s="2338"/>
      <c r="AL5" s="258" t="s">
        <v>2195</v>
      </c>
      <c r="AM5" s="781" t="s">
        <v>2196</v>
      </c>
      <c r="AN5" s="476" t="str">
        <f t="shared" ref="AN5" si="1">IF(AL5=0,"",IF($A$1="D",AL5,AM5))</f>
        <v>Das Excel enthält verschiedene Daten-Blätter. Das Blatt "1 ANTRAG-DEMANDE" wird zuerst ausgefüllt, anschliessend das Blatt "2 Autodeklaration". Die Liste der dem Antrag beizufügenden Dokumente befindet sich in diesem Datenblatt (s.u.).</v>
      </c>
      <c r="AO5" s="258"/>
      <c r="AP5" s="781"/>
      <c r="AQ5" s="1118"/>
      <c r="AS5" s="2338"/>
    </row>
    <row r="6" spans="1:53" s="799" customFormat="1" ht="41.25" customHeight="1">
      <c r="A6" s="1117" t="str">
        <f>AQ17</f>
        <v>Etappe</v>
      </c>
      <c r="B6" s="1983"/>
      <c r="C6" s="2037" t="str">
        <f>AN6</f>
        <v>Name Datenblatt Excel</v>
      </c>
      <c r="D6" s="2038"/>
      <c r="E6" s="1117" t="str">
        <f>AQ4</f>
        <v>Bemerkungen</v>
      </c>
      <c r="F6" s="1117"/>
      <c r="G6" s="2039"/>
      <c r="AF6" s="2338"/>
      <c r="AL6" s="420" t="s">
        <v>1374</v>
      </c>
      <c r="AM6" s="421" t="s">
        <v>1375</v>
      </c>
      <c r="AN6" s="364" t="str">
        <f>IF(AL6=0,"",IF($A$1="D",AL6,AM6))</f>
        <v>Name Datenblatt Excel</v>
      </c>
      <c r="AO6" s="420" t="s">
        <v>1372</v>
      </c>
      <c r="AP6" s="421" t="s">
        <v>1370</v>
      </c>
      <c r="AQ6" s="846" t="str">
        <f t="shared" si="0"/>
        <v>Wer?</v>
      </c>
      <c r="AS6" s="2338"/>
    </row>
    <row r="7" spans="1:53" s="510" customFormat="1" ht="20" customHeight="1">
      <c r="A7" s="1427" t="s">
        <v>1365</v>
      </c>
      <c r="B7" s="2019" t="str">
        <f>AN20</f>
        <v>Antrag komplett ausfüllen</v>
      </c>
      <c r="C7" s="2020" t="s">
        <v>1080</v>
      </c>
      <c r="D7" s="2018"/>
      <c r="E7" s="2340" t="str">
        <f t="shared" ref="E7:E13" si="2">AN7</f>
        <v>Alle Zellen sollten ausgefüllt werden: das Blatt kann einfach mit der Tabulator-Taste durchlaufen werden.</v>
      </c>
      <c r="F7" s="2340"/>
      <c r="G7" s="2340"/>
      <c r="AF7" s="2042"/>
      <c r="AL7" s="258" t="s">
        <v>2046</v>
      </c>
      <c r="AM7" s="781" t="s">
        <v>2069</v>
      </c>
      <c r="AN7" s="476" t="str">
        <f t="shared" ref="AN7:AN17" si="3">IF(AL7=0,"",IF($A$1="D",AL7,AM7))</f>
        <v>Alle Zellen sollten ausgefüllt werden: das Blatt kann einfach mit der Tabulator-Taste durchlaufen werden.</v>
      </c>
      <c r="AO7" s="258" t="s">
        <v>1448</v>
      </c>
      <c r="AP7" s="781" t="s">
        <v>1449</v>
      </c>
      <c r="AQ7" s="1118" t="str">
        <f t="shared" si="0"/>
        <v>Wann?</v>
      </c>
      <c r="AS7" s="2338"/>
    </row>
    <row r="8" spans="1:53" s="510" customFormat="1" ht="20" customHeight="1">
      <c r="A8" s="1427"/>
      <c r="B8" s="2427" t="str">
        <f>BA9</f>
        <v>ZK_IS_Antrag_20250929</v>
      </c>
      <c r="C8" s="2020"/>
      <c r="D8" s="2018"/>
      <c r="E8" s="2341" t="str">
        <f t="shared" si="2"/>
        <v>Bitte die Erläuterungen in der Spalte E beachten.</v>
      </c>
      <c r="F8" s="2341"/>
      <c r="G8" s="2341"/>
      <c r="AF8" s="2042"/>
      <c r="AL8" s="258" t="s">
        <v>2076</v>
      </c>
      <c r="AM8" s="781" t="s">
        <v>2070</v>
      </c>
      <c r="AN8" s="476" t="str">
        <f t="shared" si="3"/>
        <v>Bitte die Erläuterungen in der Spalte E beachten.</v>
      </c>
      <c r="AO8" s="258"/>
      <c r="AP8" s="781"/>
      <c r="AQ8" s="1118"/>
      <c r="AS8" s="2338"/>
    </row>
    <row r="9" spans="1:53" s="510" customFormat="1" ht="49" customHeight="1">
      <c r="A9" s="1427"/>
      <c r="B9" s="2430" t="s">
        <v>2548</v>
      </c>
      <c r="C9" s="2429">
        <v>45929</v>
      </c>
      <c r="D9" s="2018"/>
      <c r="E9" s="2342" t="str">
        <f t="shared" si="2"/>
        <v>Bitte für jeden neuen Antrag immer nur die aktuelle Version dieses excel-Files benutzen. Ältere Versionen können nicht bearbeitet werden. 
Die gültige Version kann hier runtergeladen werden:</v>
      </c>
      <c r="F9" s="2342"/>
      <c r="G9" s="2342"/>
      <c r="AF9" s="2042"/>
      <c r="AL9" s="258" t="s">
        <v>2225</v>
      </c>
      <c r="AM9" s="781" t="s">
        <v>2226</v>
      </c>
      <c r="AN9" s="476" t="str">
        <f t="shared" si="3"/>
        <v>Bitte für jeden neuen Antrag immer nur die aktuelle Version dieses excel-Files benutzen. Ältere Versionen können nicht bearbeitet werden. 
Die gültige Version kann hier runtergeladen werden:</v>
      </c>
      <c r="AO9" s="258"/>
      <c r="AP9" s="781"/>
      <c r="AQ9" s="1118"/>
      <c r="AS9" s="2338"/>
      <c r="AW9" s="1998" t="s">
        <v>2606</v>
      </c>
      <c r="AX9" s="2426">
        <f>DAY(C9)</f>
        <v>29</v>
      </c>
      <c r="AY9" s="2426">
        <f>MONTH(C9)</f>
        <v>9</v>
      </c>
      <c r="AZ9" s="2426">
        <f>YEAR(C9)</f>
        <v>2025</v>
      </c>
      <c r="BA9" s="1998" t="str">
        <f>AW9  &amp;AZ9   &amp;IF(AY9&lt;10,0,)  &amp;AY9  &amp;IF(AX9&lt;10,0,)  &amp;AX9</f>
        <v>ZK_IS_Antrag_20250929</v>
      </c>
    </row>
    <row r="10" spans="1:53" s="510" customFormat="1" ht="19" customHeight="1">
      <c r="A10" s="2149"/>
      <c r="B10" s="2431" t="str">
        <f>BA9</f>
        <v>ZK_IS_Antrag_20250929</v>
      </c>
      <c r="C10" s="2432"/>
      <c r="D10" s="2018"/>
      <c r="E10" s="2151" t="str">
        <f t="shared" si="2"/>
        <v>Deutsch:</v>
      </c>
      <c r="F10" s="2150" t="s">
        <v>2223</v>
      </c>
      <c r="G10" s="1436"/>
      <c r="AF10" s="2042"/>
      <c r="AL10" s="258" t="s">
        <v>2520</v>
      </c>
      <c r="AM10" s="781" t="s">
        <v>2521</v>
      </c>
      <c r="AN10" s="476" t="str">
        <f t="shared" si="3"/>
        <v>Deutsch:</v>
      </c>
      <c r="AO10" s="258"/>
      <c r="AP10" s="781"/>
      <c r="AQ10" s="1118"/>
      <c r="AS10" s="2338"/>
    </row>
    <row r="11" spans="1:53" s="510" customFormat="1" ht="25" customHeight="1">
      <c r="A11" s="2149"/>
      <c r="B11" s="1429"/>
      <c r="C11" s="1434"/>
      <c r="D11" s="2018"/>
      <c r="E11" s="2151" t="str">
        <f t="shared" si="2"/>
        <v>Französisch:</v>
      </c>
      <c r="F11" s="2150" t="s">
        <v>2224</v>
      </c>
      <c r="G11" s="1436"/>
      <c r="AF11" s="2042"/>
      <c r="AL11" s="258" t="s">
        <v>2522</v>
      </c>
      <c r="AM11" s="781" t="s">
        <v>2523</v>
      </c>
      <c r="AN11" s="476" t="str">
        <f t="shared" si="3"/>
        <v>Französisch:</v>
      </c>
      <c r="AO11" s="258"/>
      <c r="AP11" s="781"/>
      <c r="AQ11" s="1118"/>
      <c r="AS11" s="2338"/>
    </row>
    <row r="12" spans="1:53" s="510" customFormat="1" ht="37" customHeight="1">
      <c r="A12" s="1427"/>
      <c r="B12" s="2152" t="str">
        <f>AQ12</f>
        <v>Tip: copy-paste</v>
      </c>
      <c r="C12" s="2020"/>
      <c r="D12" s="2018"/>
      <c r="E12" s="2343" t="str">
        <f t="shared" si="2"/>
        <v>Einfügen von kopiertem Text aus einer alten Version  ist möglich in in einzelne Zellen: Doppelklick auf die Zelle, dann einfügen.</v>
      </c>
      <c r="F12" s="2343"/>
      <c r="G12" s="2343"/>
      <c r="AF12" s="2042"/>
      <c r="AL12" s="258" t="s">
        <v>2518</v>
      </c>
      <c r="AM12" s="781" t="s">
        <v>2519</v>
      </c>
      <c r="AN12" s="476" t="str">
        <f t="shared" ref="AN12" si="4">IF(AL12=0,"",IF($A$1="D",AL12,AM12))</f>
        <v>Einfügen von kopiertem Text aus einer alten Version  ist möglich in in einzelne Zellen: Doppelklick auf die Zelle, dann einfügen.</v>
      </c>
      <c r="AO12" s="258" t="s">
        <v>2524</v>
      </c>
      <c r="AP12" s="781" t="s">
        <v>2525</v>
      </c>
      <c r="AQ12" s="1118" t="str">
        <f t="shared" si="0"/>
        <v>Tip: copy-paste</v>
      </c>
      <c r="AS12" s="2338"/>
    </row>
    <row r="13" spans="1:53" s="510" customFormat="1" ht="27.75" customHeight="1">
      <c r="A13" s="1427" t="s">
        <v>1087</v>
      </c>
      <c r="B13" s="2019" t="str">
        <f>AN21</f>
        <v>Antrag drucken + pdf speichern</v>
      </c>
      <c r="C13" s="2020" t="s">
        <v>1080</v>
      </c>
      <c r="D13" s="2018"/>
      <c r="E13" s="1431" t="str">
        <f t="shared" si="2"/>
        <v>Per Funktion PRINT, s.a. Erklärungen im Blatt "1 ANTRAG-DEMANDE".</v>
      </c>
      <c r="F13" s="2021"/>
      <c r="G13" s="2018"/>
      <c r="AF13" s="2042"/>
      <c r="AL13" s="258" t="s">
        <v>2072</v>
      </c>
      <c r="AM13" s="781" t="s">
        <v>2071</v>
      </c>
      <c r="AN13" s="476" t="str">
        <f t="shared" si="3"/>
        <v>Per Funktion PRINT, s.a. Erklärungen im Blatt "1 ANTRAG-DEMANDE".</v>
      </c>
      <c r="AO13" s="258"/>
      <c r="AP13" s="781"/>
      <c r="AQ13" s="1118" t="str">
        <f t="shared" si="0"/>
        <v/>
      </c>
      <c r="AS13" s="2338"/>
    </row>
    <row r="14" spans="1:53" s="510" customFormat="1" ht="10" customHeight="1">
      <c r="A14" s="1427"/>
      <c r="B14" s="2019"/>
      <c r="C14" s="2020"/>
      <c r="D14" s="2018"/>
      <c r="E14" s="2022"/>
      <c r="F14" s="2022"/>
      <c r="G14" s="2022"/>
      <c r="AF14" s="2042"/>
      <c r="AL14" s="258"/>
      <c r="AM14" s="781"/>
      <c r="AN14" s="476" t="str">
        <f t="shared" si="3"/>
        <v/>
      </c>
      <c r="AO14" s="258"/>
      <c r="AP14" s="781"/>
      <c r="AQ14" s="1118"/>
      <c r="AS14" s="2338"/>
    </row>
    <row r="15" spans="1:53" s="510" customFormat="1" ht="15.75" customHeight="1">
      <c r="A15" s="1427" t="s">
        <v>1088</v>
      </c>
      <c r="B15" s="2019" t="str">
        <f>AN23</f>
        <v>Selbstdeklaration komplett ausfüllen</v>
      </c>
      <c r="C15" s="2020" t="s">
        <v>1082</v>
      </c>
      <c r="D15" s="2018"/>
      <c r="E15" s="2340" t="str">
        <f>AN15</f>
        <v xml:space="preserve">Jedes Kriterium wird einzeln deklariert. </v>
      </c>
      <c r="F15" s="2340"/>
      <c r="G15" s="2340"/>
      <c r="AF15" s="2042"/>
      <c r="AL15" s="258" t="s">
        <v>2052</v>
      </c>
      <c r="AM15" s="781" t="s">
        <v>2073</v>
      </c>
      <c r="AN15" s="476" t="str">
        <f t="shared" si="3"/>
        <v xml:space="preserve">Jedes Kriterium wird einzeln deklariert. </v>
      </c>
      <c r="AO15" s="258"/>
      <c r="AP15" s="781"/>
      <c r="AQ15" s="1118" t="str">
        <f t="shared" si="0"/>
        <v/>
      </c>
      <c r="AS15" s="2338"/>
    </row>
    <row r="16" spans="1:53" s="510" customFormat="1" ht="30.75" customHeight="1">
      <c r="A16" s="1427"/>
      <c r="B16" s="2019"/>
      <c r="C16" s="2020"/>
      <c r="D16" s="2018"/>
      <c r="E16" s="2340" t="str">
        <f>AN16</f>
        <v>Bemerkungen können als Freitext in der Spalte F eingegeben werden.</v>
      </c>
      <c r="F16" s="2340"/>
      <c r="G16" s="2340"/>
      <c r="AF16" s="2042"/>
      <c r="AL16" s="258" t="s">
        <v>2077</v>
      </c>
      <c r="AM16" s="781" t="s">
        <v>2074</v>
      </c>
      <c r="AN16" s="476" t="str">
        <f t="shared" si="3"/>
        <v>Bemerkungen können als Freitext in der Spalte F eingegeben werden.</v>
      </c>
      <c r="AO16" s="258"/>
      <c r="AP16" s="781"/>
      <c r="AQ16" s="1118"/>
      <c r="AS16" s="2338"/>
    </row>
    <row r="17" spans="1:46" s="510" customFormat="1" ht="19.5" customHeight="1">
      <c r="A17" s="1427" t="s">
        <v>1089</v>
      </c>
      <c r="B17" s="2019" t="str">
        <f>AN24</f>
        <v>Selbstdeklaration drucken + pdf speichern</v>
      </c>
      <c r="C17" s="2020" t="s">
        <v>1082</v>
      </c>
      <c r="D17" s="2023"/>
      <c r="E17" s="2341" t="str">
        <f>AN17</f>
        <v/>
      </c>
      <c r="F17" s="2341"/>
      <c r="G17" s="2341"/>
      <c r="H17" s="780"/>
      <c r="I17" s="780"/>
      <c r="J17" s="780"/>
      <c r="K17" s="780"/>
      <c r="L17" s="780"/>
      <c r="M17" s="780"/>
      <c r="N17" s="780"/>
      <c r="O17" s="780"/>
      <c r="P17" s="780"/>
      <c r="Q17" s="780"/>
      <c r="R17" s="780"/>
      <c r="S17" s="780"/>
      <c r="T17" s="780"/>
      <c r="U17" s="780"/>
      <c r="V17" s="780"/>
      <c r="W17" s="780"/>
      <c r="X17" s="780"/>
      <c r="Y17" s="780"/>
      <c r="Z17" s="780"/>
      <c r="AA17" s="780"/>
      <c r="AB17" s="780"/>
      <c r="AC17" s="780"/>
      <c r="AD17" s="780"/>
      <c r="AE17" s="780"/>
      <c r="AF17" s="2044"/>
      <c r="AG17" s="780"/>
      <c r="AL17" s="258"/>
      <c r="AM17" s="781"/>
      <c r="AN17" s="476" t="str">
        <f t="shared" si="3"/>
        <v/>
      </c>
      <c r="AO17" s="258" t="s">
        <v>1086</v>
      </c>
      <c r="AP17" s="781" t="s">
        <v>1272</v>
      </c>
      <c r="AQ17" s="1118" t="str">
        <f t="shared" ref="AQ17:AQ28" si="5">IF(AO17=0,"",IF($A$1="D",AO17,AP17))</f>
        <v>Etappe</v>
      </c>
      <c r="AS17" s="2338"/>
    </row>
    <row r="18" spans="1:46" s="510" customFormat="1" ht="10" customHeight="1">
      <c r="A18" s="1427"/>
      <c r="B18" s="2019"/>
      <c r="C18" s="2020"/>
      <c r="D18" s="2018"/>
      <c r="E18" s="2022"/>
      <c r="F18" s="2022"/>
      <c r="G18" s="2022"/>
      <c r="AF18" s="2042"/>
      <c r="AL18" s="258"/>
      <c r="AM18" s="781"/>
      <c r="AN18" s="476"/>
      <c r="AO18" s="258"/>
      <c r="AP18" s="781"/>
      <c r="AQ18" s="1118" t="str">
        <f t="shared" si="5"/>
        <v/>
      </c>
      <c r="AS18" s="2338"/>
    </row>
    <row r="19" spans="1:46" s="510" customFormat="1" ht="36.75" customHeight="1">
      <c r="A19" s="1427" t="s">
        <v>1090</v>
      </c>
      <c r="B19" s="2019" t="str">
        <f>AN25</f>
        <v>Dokumente zusammenstellen</v>
      </c>
      <c r="C19" s="2020" t="s">
        <v>2181</v>
      </c>
      <c r="D19" s="2024"/>
      <c r="E19" s="2340" t="str">
        <f>AN19</f>
        <v>Für die komplette Liste aller Dokumente s.u.</v>
      </c>
      <c r="F19" s="2340"/>
      <c r="G19" s="2340"/>
      <c r="H19" s="780"/>
      <c r="I19" s="780"/>
      <c r="J19" s="780"/>
      <c r="K19" s="780"/>
      <c r="L19" s="780"/>
      <c r="M19" s="780"/>
      <c r="N19" s="780"/>
      <c r="O19" s="780"/>
      <c r="P19" s="780"/>
      <c r="Q19" s="780"/>
      <c r="R19" s="780"/>
      <c r="S19" s="780"/>
      <c r="T19" s="780"/>
      <c r="U19" s="780"/>
      <c r="V19" s="780"/>
      <c r="W19" s="780"/>
      <c r="X19" s="780"/>
      <c r="Y19" s="780"/>
      <c r="Z19" s="780"/>
      <c r="AA19" s="780"/>
      <c r="AB19" s="780"/>
      <c r="AC19" s="780"/>
      <c r="AD19" s="780"/>
      <c r="AE19" s="780"/>
      <c r="AF19" s="2044"/>
      <c r="AG19" s="780"/>
      <c r="AL19" s="258" t="s">
        <v>2194</v>
      </c>
      <c r="AM19" s="781" t="s">
        <v>2193</v>
      </c>
      <c r="AN19" s="476" t="str">
        <f t="shared" ref="AN19" si="6">IF(AL19=0,"",IF($A$1="D",AL19,AM19))</f>
        <v>Für die komplette Liste aller Dokumente s.u.</v>
      </c>
      <c r="AO19" s="258" t="s">
        <v>1378</v>
      </c>
      <c r="AP19" s="781" t="s">
        <v>1379</v>
      </c>
      <c r="AQ19" s="1118" t="str">
        <f t="shared" si="5"/>
        <v>Verantwortliche IS</v>
      </c>
      <c r="AS19" s="2338"/>
    </row>
    <row r="20" spans="1:46" s="510" customFormat="1" ht="30" customHeight="1">
      <c r="A20" s="1428">
        <v>6</v>
      </c>
      <c r="B20" s="2019" t="str">
        <f>AN48</f>
        <v>Antrag elektronisch verschicken</v>
      </c>
      <c r="C20" s="2025"/>
      <c r="D20" s="2026"/>
      <c r="E20" s="2336" t="str">
        <f>AQ21</f>
        <v>Bitte Antrag per Mail schicken und ALLE Dateien mit dem unten generierten Namen als pdf/xls beifügen.</v>
      </c>
      <c r="F20" s="2336"/>
      <c r="G20" s="2336"/>
      <c r="H20" s="780"/>
      <c r="I20" s="780"/>
      <c r="J20" s="780"/>
      <c r="K20" s="780"/>
      <c r="L20" s="780"/>
      <c r="M20" s="780"/>
      <c r="N20" s="780"/>
      <c r="O20" s="780"/>
      <c r="P20" s="780"/>
      <c r="Q20" s="780"/>
      <c r="R20" s="780"/>
      <c r="S20" s="780"/>
      <c r="T20" s="780"/>
      <c r="U20" s="780"/>
      <c r="V20" s="780"/>
      <c r="W20" s="780"/>
      <c r="X20" s="780"/>
      <c r="Y20" s="780"/>
      <c r="Z20" s="780"/>
      <c r="AA20" s="780"/>
      <c r="AB20" s="780"/>
      <c r="AC20" s="780"/>
      <c r="AD20" s="780"/>
      <c r="AE20" s="780"/>
      <c r="AF20" s="2044"/>
      <c r="AG20" s="780"/>
      <c r="AL20" s="258" t="s">
        <v>1081</v>
      </c>
      <c r="AM20" s="781" t="s">
        <v>1203</v>
      </c>
      <c r="AN20" s="476" t="str">
        <f t="shared" ref="AN20:AN49" si="7">IF(AL20=0,"",IF($A$1="D",AL20,AM20))</f>
        <v>Antrag komplett ausfüllen</v>
      </c>
      <c r="AO20" s="258" t="s">
        <v>1411</v>
      </c>
      <c r="AP20" s="781" t="s">
        <v>1412</v>
      </c>
      <c r="AQ20" s="476" t="str">
        <f t="shared" si="5"/>
        <v>Spalte (Tabelle)</v>
      </c>
      <c r="AS20" s="2042"/>
    </row>
    <row r="21" spans="1:46" s="510" customFormat="1" ht="30" customHeight="1">
      <c r="A21" s="1428"/>
      <c r="B21" s="2029" t="s">
        <v>1640</v>
      </c>
      <c r="C21" s="2025"/>
      <c r="D21" s="2026"/>
      <c r="E21" s="2030" t="s">
        <v>1115</v>
      </c>
      <c r="F21" s="1436"/>
      <c r="G21" s="1436"/>
      <c r="H21" s="780"/>
      <c r="I21" s="780"/>
      <c r="J21" s="780"/>
      <c r="K21" s="780"/>
      <c r="L21" s="780"/>
      <c r="M21" s="780"/>
      <c r="N21" s="780"/>
      <c r="O21" s="780"/>
      <c r="P21" s="780"/>
      <c r="Q21" s="780"/>
      <c r="R21" s="780"/>
      <c r="S21" s="780"/>
      <c r="T21" s="780"/>
      <c r="U21" s="780"/>
      <c r="V21" s="780"/>
      <c r="W21" s="780"/>
      <c r="X21" s="780"/>
      <c r="Y21" s="780"/>
      <c r="Z21" s="780"/>
      <c r="AA21" s="780"/>
      <c r="AB21" s="780"/>
      <c r="AC21" s="780"/>
      <c r="AD21" s="780"/>
      <c r="AE21" s="780"/>
      <c r="AF21" s="2044"/>
      <c r="AG21" s="780"/>
      <c r="AL21" s="258" t="s">
        <v>1083</v>
      </c>
      <c r="AM21" s="781" t="s">
        <v>1364</v>
      </c>
      <c r="AN21" s="476" t="str">
        <f>IF(AL21=0,"",IF($A$1="D",AL21,AM21))</f>
        <v>Antrag drucken + pdf speichern</v>
      </c>
      <c r="AO21" s="420" t="s">
        <v>2197</v>
      </c>
      <c r="AP21" s="421" t="s">
        <v>2198</v>
      </c>
      <c r="AQ21" s="846" t="str">
        <f>IF(AO21=0,"",IF($A$1="D",AO21,AP21))</f>
        <v>Bitte Antrag per Mail schicken und ALLE Dateien mit dem unten generierten Namen als pdf/xls beifügen.</v>
      </c>
      <c r="AS21" s="2042"/>
    </row>
    <row r="22" spans="1:46" s="510" customFormat="1" ht="39" customHeight="1">
      <c r="A22" s="1428">
        <v>7</v>
      </c>
      <c r="B22" s="2019" t="str">
        <f>AN49</f>
        <v>Antrag per Post verschicken</v>
      </c>
      <c r="C22" s="2020"/>
      <c r="D22" s="2026"/>
      <c r="E22" s="2336" t="str">
        <f>AQ22</f>
        <v>Bitte den Antrag auch per Post senden. Es genügen die drei unten mit "x" gekennzeichneten Dokumente (Kreuz Spalte D, s.u.) - bitte Alle drei unterschreiben.</v>
      </c>
      <c r="F22" s="2336"/>
      <c r="G22" s="2336"/>
      <c r="H22" s="780"/>
      <c r="I22" s="780"/>
      <c r="J22" s="780"/>
      <c r="K22" s="780"/>
      <c r="L22" s="780"/>
      <c r="M22" s="780"/>
      <c r="N22" s="780"/>
      <c r="O22" s="780"/>
      <c r="P22" s="780"/>
      <c r="Q22" s="780"/>
      <c r="R22" s="780"/>
      <c r="S22" s="780"/>
      <c r="T22" s="780"/>
      <c r="U22" s="780"/>
      <c r="V22" s="780"/>
      <c r="W22" s="780"/>
      <c r="X22" s="780"/>
      <c r="Y22" s="780"/>
      <c r="Z22" s="780"/>
      <c r="AA22" s="780"/>
      <c r="AB22" s="780"/>
      <c r="AC22" s="780"/>
      <c r="AD22" s="780"/>
      <c r="AE22" s="780"/>
      <c r="AF22" s="2044"/>
      <c r="AG22" s="780"/>
      <c r="AL22" s="258" t="s">
        <v>2201</v>
      </c>
      <c r="AM22" s="781" t="s">
        <v>2202</v>
      </c>
      <c r="AN22" s="476" t="str">
        <f>IF(AL22=0,"",IF($A$1="D",AL22,AM22))</f>
        <v>Postadresse</v>
      </c>
      <c r="AO22" s="221" t="s">
        <v>2199</v>
      </c>
      <c r="AP22" s="347" t="s">
        <v>2200</v>
      </c>
      <c r="AQ22" s="476" t="str">
        <f>IF(AO22=0,"",IF($A$1="D",AO22,AP22))</f>
        <v>Bitte den Antrag auch per Post senden. Es genügen die drei unten mit "x" gekennzeichneten Dokumente (Kreuz Spalte D, s.u.) - bitte Alle drei unterschreiben.</v>
      </c>
      <c r="AS22" s="2042"/>
    </row>
    <row r="23" spans="1:46" s="510" customFormat="1" ht="51" customHeight="1">
      <c r="A23" s="1428"/>
      <c r="B23" s="2028" t="str">
        <f>AN22</f>
        <v>Postadresse</v>
      </c>
      <c r="C23" s="2027"/>
      <c r="D23" s="2026"/>
      <c r="E23" s="2335" t="s">
        <v>2203</v>
      </c>
      <c r="F23" s="2335"/>
      <c r="G23" s="2335"/>
      <c r="H23" s="780"/>
      <c r="I23" s="780"/>
      <c r="J23" s="780"/>
      <c r="K23" s="780"/>
      <c r="L23" s="780"/>
      <c r="M23" s="780"/>
      <c r="N23" s="780"/>
      <c r="O23" s="780"/>
      <c r="P23" s="780"/>
      <c r="Q23" s="780"/>
      <c r="R23" s="780"/>
      <c r="S23" s="780"/>
      <c r="T23" s="780"/>
      <c r="U23" s="780"/>
      <c r="V23" s="780"/>
      <c r="W23" s="780"/>
      <c r="X23" s="780"/>
      <c r="Y23" s="780"/>
      <c r="Z23" s="780"/>
      <c r="AA23" s="780"/>
      <c r="AB23" s="780"/>
      <c r="AC23" s="780"/>
      <c r="AD23" s="780"/>
      <c r="AE23" s="780"/>
      <c r="AF23" s="2044"/>
      <c r="AG23" s="780"/>
      <c r="AL23" s="420" t="s">
        <v>1209</v>
      </c>
      <c r="AM23" s="421" t="s">
        <v>1206</v>
      </c>
      <c r="AN23" s="364" t="str">
        <f>IF(AL23=0,"",IF($A$1="D",AL23,AM23))</f>
        <v>Selbstdeklaration komplett ausfüllen</v>
      </c>
      <c r="AO23" s="420"/>
      <c r="AP23" s="421"/>
      <c r="AQ23" s="846"/>
      <c r="AS23" s="2042"/>
    </row>
    <row r="24" spans="1:46" s="799" customFormat="1" ht="15.5" customHeight="1">
      <c r="D24" s="1948"/>
      <c r="E24" s="1949"/>
      <c r="F24" s="1949"/>
      <c r="G24" s="831"/>
      <c r="H24" s="805"/>
      <c r="I24" s="805"/>
      <c r="J24" s="805"/>
      <c r="K24" s="805"/>
      <c r="L24" s="805"/>
      <c r="M24" s="805"/>
      <c r="N24" s="805"/>
      <c r="O24" s="805"/>
      <c r="P24" s="805"/>
      <c r="Q24" s="805"/>
      <c r="R24" s="805"/>
      <c r="S24" s="805"/>
      <c r="T24" s="805"/>
      <c r="U24" s="805"/>
      <c r="V24" s="805"/>
      <c r="W24" s="805"/>
      <c r="X24" s="805"/>
      <c r="Y24" s="805"/>
      <c r="Z24" s="805"/>
      <c r="AA24" s="805"/>
      <c r="AB24" s="805"/>
      <c r="AC24" s="805"/>
      <c r="AD24" s="805"/>
      <c r="AE24" s="805"/>
      <c r="AF24" s="2045"/>
      <c r="AG24" s="805"/>
      <c r="AH24"/>
      <c r="AI24"/>
      <c r="AJ24"/>
      <c r="AL24" s="420" t="s">
        <v>1210</v>
      </c>
      <c r="AM24" s="421" t="s">
        <v>1207</v>
      </c>
      <c r="AN24" s="364" t="str">
        <f>IF(AL24=0,"",IF($A$1="D",AL24,AM24))</f>
        <v>Selbstdeklaration drucken + pdf speichern</v>
      </c>
      <c r="AO24" s="258"/>
      <c r="AP24" s="781"/>
      <c r="AQ24" s="1118" t="str">
        <f>IF(AO24=0,"",IF($A$1="D",AO24,AP24))</f>
        <v/>
      </c>
      <c r="AS24" s="2043"/>
    </row>
    <row r="25" spans="1:46" s="799" customFormat="1" ht="15.5" customHeight="1">
      <c r="D25" s="1948"/>
      <c r="E25" s="1949"/>
      <c r="F25" s="1949"/>
      <c r="G25" s="831"/>
      <c r="H25" s="805"/>
      <c r="I25" s="805"/>
      <c r="J25" s="805"/>
      <c r="K25" s="805"/>
      <c r="L25" s="805"/>
      <c r="M25" s="805"/>
      <c r="N25" s="805"/>
      <c r="O25" s="805"/>
      <c r="P25" s="805"/>
      <c r="Q25" s="805"/>
      <c r="R25" s="805"/>
      <c r="S25" s="805"/>
      <c r="T25" s="805"/>
      <c r="U25" s="805"/>
      <c r="V25" s="805"/>
      <c r="W25" s="805"/>
      <c r="X25" s="805"/>
      <c r="Y25" s="805"/>
      <c r="Z25" s="805"/>
      <c r="AA25" s="805"/>
      <c r="AB25" s="805"/>
      <c r="AC25" s="805"/>
      <c r="AD25" s="805"/>
      <c r="AE25" s="805"/>
      <c r="AF25" s="2045"/>
      <c r="AG25" s="805"/>
      <c r="AH25"/>
      <c r="AI25"/>
      <c r="AJ25"/>
      <c r="AL25" s="420" t="s">
        <v>1085</v>
      </c>
      <c r="AM25" s="421" t="s">
        <v>1208</v>
      </c>
      <c r="AN25" s="364" t="str">
        <f>IF(AL25=0,"",IF($A$1="D",AL25,AM25))</f>
        <v>Dokumente zusammenstellen</v>
      </c>
      <c r="AO25" s="258"/>
      <c r="AP25" s="781"/>
      <c r="AQ25" s="1118" t="str">
        <f>IF(AO25=0,"",IF($A$1="D",AO25,AP25))</f>
        <v/>
      </c>
      <c r="AS25" s="2043"/>
    </row>
    <row r="26" spans="1:46" ht="39.75" customHeight="1">
      <c r="A26" s="862" t="str">
        <f>AN26</f>
        <v>Nötige Dokumente für den Antrag</v>
      </c>
      <c r="B26" s="862"/>
      <c r="C26" s="862"/>
      <c r="D26" s="1996"/>
      <c r="E26" s="1996"/>
      <c r="F26" s="2031"/>
      <c r="G26" s="1997"/>
      <c r="H26" s="776"/>
      <c r="I26" s="776"/>
      <c r="J26" s="776"/>
      <c r="K26" s="776"/>
      <c r="L26" s="776"/>
      <c r="M26" s="776"/>
      <c r="N26" s="776"/>
      <c r="O26" s="776"/>
      <c r="P26" s="776"/>
      <c r="Q26" s="776"/>
      <c r="R26" s="776"/>
      <c r="S26" s="776"/>
      <c r="T26" s="776"/>
      <c r="U26" s="776"/>
      <c r="V26" s="776"/>
      <c r="W26" s="776"/>
      <c r="X26" s="776"/>
      <c r="Y26" s="776"/>
      <c r="Z26" s="776"/>
      <c r="AA26" s="776"/>
      <c r="AB26" s="776"/>
      <c r="AC26" s="776"/>
      <c r="AD26" s="776"/>
      <c r="AE26" s="776"/>
      <c r="AG26" s="776"/>
      <c r="AH26" s="776"/>
      <c r="AI26" s="777"/>
      <c r="AJ26" s="777"/>
      <c r="AL26" s="258" t="s">
        <v>1096</v>
      </c>
      <c r="AM26" s="781" t="s">
        <v>1305</v>
      </c>
      <c r="AN26" s="476" t="str">
        <f t="shared" si="7"/>
        <v>Nötige Dokumente für den Antrag</v>
      </c>
      <c r="AO26" s="258" t="s">
        <v>961</v>
      </c>
      <c r="AP26" s="781" t="s">
        <v>1002</v>
      </c>
      <c r="AQ26" s="476" t="str">
        <f t="shared" si="5"/>
        <v>Nr</v>
      </c>
      <c r="AS26" s="2047"/>
      <c r="AT26" s="776"/>
    </row>
    <row r="27" spans="1:46" s="780" customFormat="1" ht="57.5" customHeight="1">
      <c r="A27" s="2004"/>
      <c r="B27" s="2002" t="str">
        <f>AQ26</f>
        <v>Nr</v>
      </c>
      <c r="C27" s="2013" t="str">
        <f>AN27</f>
        <v>Datum Dokument 
(nur falls anders als Antragsdatum)</v>
      </c>
      <c r="D27" s="2006" t="str">
        <f>AN28</f>
        <v>Dokumente auch für Postsendung</v>
      </c>
      <c r="E27" s="2006" t="str">
        <f>AQ28</f>
        <v>Format für elektronische Form</v>
      </c>
      <c r="F27" s="2337" t="str">
        <f>AQ27</f>
        <v>Bitte diese Dateiname benutzen (copy hier -paste direkt in Dateiname).
Vorher muss der Antrag (Blatt 1) vollständig ausgefüllt werden.</v>
      </c>
      <c r="G27" s="2337"/>
      <c r="AF27" s="2044"/>
      <c r="AG27" s="778" t="s">
        <v>1004</v>
      </c>
      <c r="AH27" s="778" t="s">
        <v>861</v>
      </c>
      <c r="AI27" s="779" t="s">
        <v>1003</v>
      </c>
      <c r="AJ27" s="779" t="s">
        <v>1078</v>
      </c>
      <c r="AL27" s="258" t="s">
        <v>1307</v>
      </c>
      <c r="AM27" s="786" t="s">
        <v>1306</v>
      </c>
      <c r="AN27" s="476" t="str">
        <f t="shared" si="7"/>
        <v>Datum Dokument 
(nur falls anders als Antragsdatum)</v>
      </c>
      <c r="AO27" s="258" t="s">
        <v>1330</v>
      </c>
      <c r="AP27" s="781" t="s">
        <v>1331</v>
      </c>
      <c r="AQ27" s="476" t="str">
        <f t="shared" si="5"/>
        <v>Bitte diese Dateiname benutzen (copy hier -paste direkt in Dateiname).
Vorher muss der Antrag (Blatt 1) vollständig ausgefüllt werden.</v>
      </c>
      <c r="AS27" s="2047"/>
    </row>
    <row r="28" spans="1:46" s="780" customFormat="1" ht="15.75" customHeight="1">
      <c r="A28" s="2004"/>
      <c r="B28" s="2002"/>
      <c r="C28" s="2006"/>
      <c r="D28" s="2006"/>
      <c r="E28" s="2006"/>
      <c r="F28" s="2014"/>
      <c r="G28" s="2004"/>
      <c r="AF28" s="2044"/>
      <c r="AG28" s="778"/>
      <c r="AH28" s="778"/>
      <c r="AI28" s="779"/>
      <c r="AJ28" s="779"/>
      <c r="AL28" s="221" t="s">
        <v>2204</v>
      </c>
      <c r="AM28" s="347" t="s">
        <v>2205</v>
      </c>
      <c r="AN28" s="362" t="str">
        <f t="shared" si="7"/>
        <v>Dokumente auch für Postsendung</v>
      </c>
      <c r="AO28" s="785" t="s">
        <v>1094</v>
      </c>
      <c r="AP28" s="786" t="s">
        <v>1322</v>
      </c>
      <c r="AQ28" s="362" t="str">
        <f t="shared" si="5"/>
        <v>Format für elektronische Form</v>
      </c>
      <c r="AS28" s="2044"/>
    </row>
    <row r="29" spans="1:46">
      <c r="A29" s="2005" t="s">
        <v>965</v>
      </c>
      <c r="B29" s="2032" t="str">
        <f t="shared" ref="B29:B47" si="8">AN29</f>
        <v>Brief der IPS</v>
      </c>
      <c r="C29" s="2008"/>
      <c r="D29" s="1996" t="s">
        <v>789</v>
      </c>
      <c r="E29" s="1996" t="s">
        <v>966</v>
      </c>
      <c r="F29" s="2010" t="str">
        <f>$AG$30&amp;"_"&amp;$AG$34&amp;"_"&amp;A29&amp;"_"&amp;AH29</f>
        <v>___000100_00_Brief</v>
      </c>
      <c r="G29" s="2040"/>
      <c r="AG29" s="776" t="s">
        <v>1005</v>
      </c>
      <c r="AH29" s="178" t="str">
        <f t="shared" ref="AH29:AH47" si="9">AQ29</f>
        <v>Brief</v>
      </c>
      <c r="AI29" s="793"/>
      <c r="AJ29" s="777"/>
      <c r="AL29" s="321" t="s">
        <v>1309</v>
      </c>
      <c r="AM29" s="403" t="s">
        <v>1308</v>
      </c>
      <c r="AN29" s="362" t="str">
        <f t="shared" si="7"/>
        <v>Brief der IPS</v>
      </c>
      <c r="AO29" s="221" t="s">
        <v>1084</v>
      </c>
      <c r="AP29" s="403" t="s">
        <v>1323</v>
      </c>
      <c r="AQ29" s="362" t="str">
        <f t="shared" ref="AQ29:AQ47" si="10">IF(AO29=0,"",IF($A$1="D",AO29,AP29))</f>
        <v>Brief</v>
      </c>
    </row>
    <row r="30" spans="1:46" ht="29.25" customHeight="1">
      <c r="A30" s="2005" t="s">
        <v>958</v>
      </c>
      <c r="B30" s="2033" t="str">
        <f t="shared" si="8"/>
        <v>Antrag Station Excel
(diese komplette Datei,  Format xlsx)</v>
      </c>
      <c r="C30" s="2008"/>
      <c r="D30" s="1996"/>
      <c r="E30" s="1996" t="s">
        <v>1311</v>
      </c>
      <c r="F30" s="2010" t="str">
        <f>$AG$30&amp;"_"&amp;$AG$34&amp;"_"&amp;A30&amp;"_"&amp;AH30</f>
        <v>___000100_01_ANTRAG-Excel</v>
      </c>
      <c r="G30" s="2040"/>
      <c r="AG30" s="2146" t="str">
        <f>'1 ANTRAG-DEMANDE'!B11&amp;"_"&amp;'1 ANTRAG-DEMANDE'!B14&amp;"_"&amp;'1 ANTRAG-DEMANDE'!B16</f>
        <v>__</v>
      </c>
      <c r="AH30" s="1103" t="str">
        <f t="shared" si="9"/>
        <v>ANTRAG-Excel</v>
      </c>
      <c r="AI30" s="793"/>
      <c r="AJ30" s="777"/>
      <c r="AL30" s="321" t="s">
        <v>1079</v>
      </c>
      <c r="AM30" s="347" t="s">
        <v>1310</v>
      </c>
      <c r="AN30" s="362" t="str">
        <f t="shared" si="7"/>
        <v>Antrag Station Excel
(diese komplette Datei,  Format xlsx)</v>
      </c>
      <c r="AO30" s="402" t="s">
        <v>967</v>
      </c>
      <c r="AP30" s="403" t="s">
        <v>1324</v>
      </c>
      <c r="AQ30" s="362" t="str">
        <f t="shared" si="10"/>
        <v>ANTRAG-Excel</v>
      </c>
    </row>
    <row r="31" spans="1:46" ht="23">
      <c r="A31" s="2005" t="s">
        <v>958</v>
      </c>
      <c r="B31" s="2032" t="str">
        <f t="shared" si="8"/>
        <v>Antrag Pdf</v>
      </c>
      <c r="C31" s="2008"/>
      <c r="D31" s="1996" t="s">
        <v>789</v>
      </c>
      <c r="E31" s="1996" t="s">
        <v>966</v>
      </c>
      <c r="F31" s="2010" t="str">
        <f>$AG$30&amp;"_"&amp;$AG$34&amp;"_"&amp;A31&amp;"_"&amp;AH31</f>
        <v>___000100_01_Antragsformular_IV_ZertifizierungIntensivstation</v>
      </c>
      <c r="G31" s="2040"/>
      <c r="AG31" s="776" t="s">
        <v>1005</v>
      </c>
      <c r="AH31" s="1103" t="str">
        <f t="shared" si="9"/>
        <v>Antragsformular_IV_ZertifizierungIntensivstation</v>
      </c>
      <c r="AI31" s="793"/>
      <c r="AJ31" s="777"/>
      <c r="AL31" s="321" t="s">
        <v>964</v>
      </c>
      <c r="AM31" s="403" t="s">
        <v>1296</v>
      </c>
      <c r="AN31" s="362" t="str">
        <f t="shared" si="7"/>
        <v>Antrag Pdf</v>
      </c>
      <c r="AO31" s="221" t="s">
        <v>963</v>
      </c>
      <c r="AP31" s="403" t="s">
        <v>1325</v>
      </c>
      <c r="AQ31" s="362" t="str">
        <f t="shared" si="10"/>
        <v>Antragsformular_IV_ZertifizierungIntensivstation</v>
      </c>
    </row>
    <row r="32" spans="1:46" ht="15.75" customHeight="1">
      <c r="A32" s="2005" t="s">
        <v>959</v>
      </c>
      <c r="B32" s="2032" t="str">
        <f t="shared" si="8"/>
        <v>Selbstdeklaration</v>
      </c>
      <c r="C32" s="1999"/>
      <c r="D32" s="1996" t="s">
        <v>789</v>
      </c>
      <c r="E32" s="1996" t="s">
        <v>966</v>
      </c>
      <c r="F32" s="2010" t="str">
        <f t="shared" ref="F32:F47" si="11">$AG$30&amp;"_"&amp;$AG$34&amp;"_"&amp;A32&amp;"_"&amp;AH32&amp;"_"&amp;AJ32</f>
        <v>___000100_02_Antragsformular_VII_Selbstdeklaration_Qualitätskriterien_000100</v>
      </c>
      <c r="G32" s="2040"/>
      <c r="AG32" s="2147">
        <f>'1 ANTRAG-DEMANDE'!B10</f>
        <v>0</v>
      </c>
      <c r="AH32" s="1103" t="str">
        <f t="shared" si="9"/>
        <v>Antragsformular_VII_Selbstdeklaration_Qualitätskriterien</v>
      </c>
      <c r="AI32" s="2143">
        <f>IF(C32=0,AG32,C32)</f>
        <v>0</v>
      </c>
      <c r="AJ32" s="2144" t="str">
        <f>RIGHT(YEAR(AI32)&amp;IF(MONTH(AI32)&lt;10,"0","")&amp;MONTH(AI32)&amp;IF(DAY(AI32)&lt;10,"0","")&amp;DAY(AI32),6)</f>
        <v>000100</v>
      </c>
      <c r="AL32" s="321" t="s">
        <v>334</v>
      </c>
      <c r="AM32" s="403" t="s">
        <v>1297</v>
      </c>
      <c r="AN32" s="362" t="str">
        <f t="shared" si="7"/>
        <v>Selbstdeklaration</v>
      </c>
      <c r="AO32" s="221" t="s">
        <v>962</v>
      </c>
      <c r="AP32" s="403" t="s">
        <v>1326</v>
      </c>
      <c r="AQ32" s="362" t="str">
        <f t="shared" si="10"/>
        <v>Antragsformular_VII_Selbstdeklaration_Qualitätskriterien</v>
      </c>
    </row>
    <row r="33" spans="1:45">
      <c r="A33" s="2005" t="s">
        <v>968</v>
      </c>
      <c r="B33" s="2032" t="str">
        <f t="shared" si="8"/>
        <v>MDSi (letztes Jahr)</v>
      </c>
      <c r="C33" s="2036">
        <f>YEAR(AG32)-1</f>
        <v>1899</v>
      </c>
      <c r="D33" s="1996"/>
      <c r="E33" s="1996" t="s">
        <v>966</v>
      </c>
      <c r="F33" s="2010" t="str">
        <f t="shared" si="11"/>
        <v>___000100_03_MDSi_1899</v>
      </c>
      <c r="G33" s="2040"/>
      <c r="AG33" s="2148" t="str">
        <f>YEAR(AG32)&amp;IF(MONTH(AG32)&lt;10,"0","")&amp;MONTH(AG32)&amp;IF(DAY(AG32)&lt;10,"0","")&amp;DAY(AG32)</f>
        <v>19000100</v>
      </c>
      <c r="AH33" s="1103" t="str">
        <f t="shared" si="9"/>
        <v>MDSi</v>
      </c>
      <c r="AI33" s="793"/>
      <c r="AJ33" s="2145">
        <f>C33</f>
        <v>1899</v>
      </c>
      <c r="AL33" s="321" t="s">
        <v>969</v>
      </c>
      <c r="AM33" s="403" t="s">
        <v>1312</v>
      </c>
      <c r="AN33" s="362" t="str">
        <f t="shared" si="7"/>
        <v>MDSi (letztes Jahr)</v>
      </c>
      <c r="AO33" s="221" t="s">
        <v>17</v>
      </c>
      <c r="AP33" s="403" t="s">
        <v>17</v>
      </c>
      <c r="AQ33" s="362" t="str">
        <f t="shared" si="10"/>
        <v>MDSi</v>
      </c>
    </row>
    <row r="34" spans="1:45">
      <c r="A34" s="2005" t="s">
        <v>968</v>
      </c>
      <c r="B34" s="2032" t="str">
        <f t="shared" si="8"/>
        <v>MDSi (vorletztes Jahr)</v>
      </c>
      <c r="C34" s="2036">
        <f>YEAR(AG32)-2</f>
        <v>1898</v>
      </c>
      <c r="D34" s="1996"/>
      <c r="E34" s="1996" t="s">
        <v>966</v>
      </c>
      <c r="F34" s="2010" t="str">
        <f t="shared" si="11"/>
        <v>___000100_03_MDSi_1898</v>
      </c>
      <c r="G34" s="2040"/>
      <c r="AG34" s="2148" t="str">
        <f>RIGHT(AG33,6)</f>
        <v>000100</v>
      </c>
      <c r="AH34" s="1103" t="str">
        <f t="shared" si="9"/>
        <v>MDSi</v>
      </c>
      <c r="AI34" s="793"/>
      <c r="AJ34" s="2145">
        <f>C34</f>
        <v>1898</v>
      </c>
      <c r="AL34" s="321" t="s">
        <v>970</v>
      </c>
      <c r="AM34" s="403" t="s">
        <v>1313</v>
      </c>
      <c r="AN34" s="362" t="str">
        <f t="shared" si="7"/>
        <v>MDSi (vorletztes Jahr)</v>
      </c>
      <c r="AO34" s="221" t="s">
        <v>17</v>
      </c>
      <c r="AP34" s="403" t="s">
        <v>17</v>
      </c>
      <c r="AQ34" s="362" t="str">
        <f t="shared" si="10"/>
        <v>MDSi</v>
      </c>
    </row>
    <row r="35" spans="1:45">
      <c r="A35" s="2005" t="s">
        <v>976</v>
      </c>
      <c r="B35" s="2032" t="str">
        <f t="shared" si="8"/>
        <v>Organisationsreglement</v>
      </c>
      <c r="C35" s="1999"/>
      <c r="D35" s="1996"/>
      <c r="E35" s="1996" t="s">
        <v>966</v>
      </c>
      <c r="F35" s="2010" t="str">
        <f t="shared" si="11"/>
        <v>___000100_04_Organisationsreglement_000100</v>
      </c>
      <c r="G35" s="2040"/>
      <c r="AG35" s="178"/>
      <c r="AH35" s="1103" t="str">
        <f t="shared" si="9"/>
        <v>Organisationsreglement</v>
      </c>
      <c r="AI35" s="2143">
        <f t="shared" ref="AI35:AI47" si="12">IF(C35=0,AG$32,C35)</f>
        <v>0</v>
      </c>
      <c r="AJ35" s="2144" t="str">
        <f t="shared" ref="AJ35:AJ47" si="13">RIGHT(YEAR(AI35)&amp;IF(MONTH(AI35)&lt;10,"0","")&amp;MONTH(AI35)&amp;IF(DAY(AI35)&lt;10,"0","")&amp;DAY(AI35),6)</f>
        <v>000100</v>
      </c>
      <c r="AL35" s="201" t="s">
        <v>971</v>
      </c>
      <c r="AM35" s="403" t="s">
        <v>1298</v>
      </c>
      <c r="AN35" s="362" t="str">
        <f t="shared" si="7"/>
        <v>Organisationsreglement</v>
      </c>
      <c r="AO35" s="221" t="s">
        <v>971</v>
      </c>
      <c r="AP35" s="403" t="s">
        <v>1332</v>
      </c>
      <c r="AQ35" s="362" t="str">
        <f t="shared" si="10"/>
        <v>Organisationsreglement</v>
      </c>
    </row>
    <row r="36" spans="1:45">
      <c r="A36" s="2005" t="s">
        <v>977</v>
      </c>
      <c r="B36" s="2032" t="str">
        <f t="shared" si="8"/>
        <v>Architektonischer Lageplan</v>
      </c>
      <c r="C36" s="1999"/>
      <c r="D36" s="1996"/>
      <c r="E36" s="1996" t="s">
        <v>966</v>
      </c>
      <c r="F36" s="2010" t="str">
        <f t="shared" si="11"/>
        <v>___000100_05_ArchitektonischerLageplan_000100</v>
      </c>
      <c r="G36" s="2040"/>
      <c r="AG36" s="178"/>
      <c r="AH36" s="1103" t="str">
        <f t="shared" si="9"/>
        <v>ArchitektonischerLageplan</v>
      </c>
      <c r="AI36" s="2143">
        <f t="shared" si="12"/>
        <v>0</v>
      </c>
      <c r="AJ36" s="2144" t="str">
        <f t="shared" si="13"/>
        <v>000100</v>
      </c>
      <c r="AL36" s="201" t="s">
        <v>1009</v>
      </c>
      <c r="AM36" s="403" t="s">
        <v>1299</v>
      </c>
      <c r="AN36" s="362" t="str">
        <f t="shared" si="7"/>
        <v>Architektonischer Lageplan</v>
      </c>
      <c r="AO36" s="221" t="s">
        <v>972</v>
      </c>
      <c r="AP36" s="403" t="s">
        <v>1327</v>
      </c>
      <c r="AQ36" s="362" t="str">
        <f t="shared" si="10"/>
        <v>ArchitektonischerLageplan</v>
      </c>
    </row>
    <row r="37" spans="1:45">
      <c r="A37" s="2005" t="s">
        <v>978</v>
      </c>
      <c r="B37" s="2032" t="str">
        <f t="shared" si="8"/>
        <v>Bestätigung Einhaltung Normen</v>
      </c>
      <c r="C37" s="1999"/>
      <c r="D37" s="1996"/>
      <c r="E37" s="1996" t="s">
        <v>966</v>
      </c>
      <c r="F37" s="2010" t="str">
        <f t="shared" si="11"/>
        <v>___000100_06_BestätigungEinhaltungNormen_000100</v>
      </c>
      <c r="G37" s="2040"/>
      <c r="AG37" s="178"/>
      <c r="AH37" s="1103" t="str">
        <f t="shared" si="9"/>
        <v>BestätigungEinhaltungNormen</v>
      </c>
      <c r="AI37" s="2143">
        <f t="shared" si="12"/>
        <v>0</v>
      </c>
      <c r="AJ37" s="2144" t="str">
        <f t="shared" si="13"/>
        <v>000100</v>
      </c>
      <c r="AL37" s="321" t="s">
        <v>1010</v>
      </c>
      <c r="AM37" s="403" t="s">
        <v>1300</v>
      </c>
      <c r="AN37" s="362" t="str">
        <f t="shared" si="7"/>
        <v>Bestätigung Einhaltung Normen</v>
      </c>
      <c r="AO37" s="221" t="s">
        <v>973</v>
      </c>
      <c r="AP37" s="403" t="s">
        <v>1333</v>
      </c>
      <c r="AQ37" s="362" t="str">
        <f t="shared" si="10"/>
        <v>BestätigungEinhaltungNormen</v>
      </c>
    </row>
    <row r="38" spans="1:45">
      <c r="A38" s="2005" t="s">
        <v>979</v>
      </c>
      <c r="B38" s="2032" t="str">
        <f t="shared" si="8"/>
        <v>Leistungsauftrag Kt Gesundheitsbehörde</v>
      </c>
      <c r="C38" s="1999"/>
      <c r="D38" s="1996"/>
      <c r="E38" s="1996" t="s">
        <v>966</v>
      </c>
      <c r="F38" s="2010" t="str">
        <f t="shared" si="11"/>
        <v>___000100_07_LeistungsauftragKtGesundheitsbehörde_000100</v>
      </c>
      <c r="G38" s="2040"/>
      <c r="AG38" s="178"/>
      <c r="AH38" s="1103" t="str">
        <f t="shared" si="9"/>
        <v>LeistungsauftragKtGesundheitsbehörde</v>
      </c>
      <c r="AI38" s="2143">
        <f t="shared" si="12"/>
        <v>0</v>
      </c>
      <c r="AJ38" s="2144" t="str">
        <f t="shared" si="13"/>
        <v>000100</v>
      </c>
      <c r="AL38" s="221" t="s">
        <v>1011</v>
      </c>
      <c r="AM38" s="403" t="s">
        <v>1314</v>
      </c>
      <c r="AN38" s="362" t="str">
        <f t="shared" si="7"/>
        <v>Leistungsauftrag Kt Gesundheitsbehörde</v>
      </c>
      <c r="AO38" s="221" t="s">
        <v>974</v>
      </c>
      <c r="AP38" s="403" t="s">
        <v>1334</v>
      </c>
      <c r="AQ38" s="362" t="str">
        <f t="shared" si="10"/>
        <v>LeistungsauftragKtGesundheitsbehörde</v>
      </c>
    </row>
    <row r="39" spans="1:45">
      <c r="A39" s="2005" t="s">
        <v>980</v>
      </c>
      <c r="B39" s="2032" t="str">
        <f t="shared" si="8"/>
        <v>Leistungsauftrag Verwaltungsrat</v>
      </c>
      <c r="C39" s="1999"/>
      <c r="D39" s="1996"/>
      <c r="E39" s="1996" t="s">
        <v>966</v>
      </c>
      <c r="F39" s="2010" t="str">
        <f t="shared" si="11"/>
        <v>___000100_08_LeistungsauftragVerwaltungsrat_000100</v>
      </c>
      <c r="G39" s="2040"/>
      <c r="AG39" s="178"/>
      <c r="AH39" s="1103" t="str">
        <f t="shared" si="9"/>
        <v>LeistungsauftragVerwaltungsrat</v>
      </c>
      <c r="AI39" s="2143">
        <f t="shared" si="12"/>
        <v>0</v>
      </c>
      <c r="AJ39" s="2144" t="str">
        <f t="shared" si="13"/>
        <v>000100</v>
      </c>
      <c r="AL39" s="221" t="s">
        <v>1012</v>
      </c>
      <c r="AM39" s="403" t="s">
        <v>1301</v>
      </c>
      <c r="AN39" s="362" t="str">
        <f t="shared" si="7"/>
        <v>Leistungsauftrag Verwaltungsrat</v>
      </c>
      <c r="AO39" s="221" t="s">
        <v>975</v>
      </c>
      <c r="AP39" s="403" t="s">
        <v>1335</v>
      </c>
      <c r="AQ39" s="362" t="str">
        <f t="shared" si="10"/>
        <v>LeistungsauftragVerwaltungsrat</v>
      </c>
    </row>
    <row r="40" spans="1:45">
      <c r="A40" s="2005" t="s">
        <v>982</v>
      </c>
      <c r="B40" s="2032" t="str">
        <f t="shared" si="8"/>
        <v>Dienstplan Ärzte</v>
      </c>
      <c r="C40" s="1999"/>
      <c r="D40" s="1996"/>
      <c r="E40" s="1996" t="s">
        <v>966</v>
      </c>
      <c r="F40" s="2010" t="str">
        <f t="shared" si="11"/>
        <v>___000100_09_DienstplanAerzte_000100</v>
      </c>
      <c r="G40" s="2040"/>
      <c r="AG40" s="178"/>
      <c r="AH40" s="1103" t="str">
        <f t="shared" si="9"/>
        <v>DienstplanAerzte</v>
      </c>
      <c r="AI40" s="2143">
        <f t="shared" si="12"/>
        <v>0</v>
      </c>
      <c r="AJ40" s="2144" t="str">
        <f t="shared" si="13"/>
        <v>000100</v>
      </c>
      <c r="AL40" s="221" t="s">
        <v>1013</v>
      </c>
      <c r="AM40" s="403" t="s">
        <v>1302</v>
      </c>
      <c r="AN40" s="362" t="str">
        <f t="shared" si="7"/>
        <v>Dienstplan Ärzte</v>
      </c>
      <c r="AO40" s="221" t="s">
        <v>981</v>
      </c>
      <c r="AP40" s="403" t="s">
        <v>1336</v>
      </c>
      <c r="AQ40" s="362" t="str">
        <f t="shared" si="10"/>
        <v>DienstplanAerzte</v>
      </c>
    </row>
    <row r="41" spans="1:45" ht="23">
      <c r="A41" s="2034" t="str">
        <f>A40&amp;"a"</f>
        <v>09a</v>
      </c>
      <c r="B41" s="2035" t="str">
        <f t="shared" si="8"/>
        <v>Legende für Dienstplan Arzt (falls nicht im Plan integriert)</v>
      </c>
      <c r="C41" s="1999"/>
      <c r="D41" s="1996"/>
      <c r="E41" s="1996" t="s">
        <v>966</v>
      </c>
      <c r="F41" s="2010" t="str">
        <f t="shared" si="11"/>
        <v>___000100_09a_DienstplanAerzte_Legende_000100</v>
      </c>
      <c r="G41" s="2040"/>
      <c r="AG41" s="178"/>
      <c r="AH41" s="1103" t="str">
        <f t="shared" si="9"/>
        <v>DienstplanAerzte_Legende</v>
      </c>
      <c r="AI41" s="2143">
        <f t="shared" si="12"/>
        <v>0</v>
      </c>
      <c r="AJ41" s="2144" t="str">
        <f t="shared" si="13"/>
        <v>000100</v>
      </c>
      <c r="AL41" s="468" t="s">
        <v>2166</v>
      </c>
      <c r="AM41" s="1657" t="s">
        <v>2171</v>
      </c>
      <c r="AN41" s="362" t="str">
        <f t="shared" si="7"/>
        <v>Legende für Dienstplan Arzt (falls nicht im Plan integriert)</v>
      </c>
      <c r="AO41" s="221" t="s">
        <v>2167</v>
      </c>
      <c r="AP41" s="403" t="s">
        <v>2168</v>
      </c>
      <c r="AQ41" s="362" t="str">
        <f t="shared" si="10"/>
        <v>DienstplanAerzte_Legende</v>
      </c>
    </row>
    <row r="42" spans="1:45">
      <c r="A42" s="2005" t="s">
        <v>984</v>
      </c>
      <c r="B42" s="2032" t="str">
        <f t="shared" si="8"/>
        <v>Dienstplan Pflege</v>
      </c>
      <c r="C42" s="1999"/>
      <c r="D42" s="1996"/>
      <c r="E42" s="1996" t="s">
        <v>966</v>
      </c>
      <c r="F42" s="2010" t="str">
        <f t="shared" si="11"/>
        <v>___000100_10_DienstplanPflege_000100</v>
      </c>
      <c r="G42" s="2040"/>
      <c r="AG42" s="178"/>
      <c r="AH42" s="1103" t="str">
        <f t="shared" si="9"/>
        <v>DienstplanPflege</v>
      </c>
      <c r="AI42" s="2143">
        <f t="shared" si="12"/>
        <v>0</v>
      </c>
      <c r="AJ42" s="2144" t="str">
        <f t="shared" si="13"/>
        <v>000100</v>
      </c>
      <c r="AL42" s="221" t="s">
        <v>1014</v>
      </c>
      <c r="AM42" s="403" t="s">
        <v>1303</v>
      </c>
      <c r="AN42" s="362" t="str">
        <f t="shared" si="7"/>
        <v>Dienstplan Pflege</v>
      </c>
      <c r="AO42" s="221" t="s">
        <v>983</v>
      </c>
      <c r="AP42" s="403" t="s">
        <v>1337</v>
      </c>
      <c r="AQ42" s="362" t="str">
        <f t="shared" si="10"/>
        <v>DienstplanPflege</v>
      </c>
    </row>
    <row r="43" spans="1:45" ht="23">
      <c r="A43" s="2034" t="str">
        <f>A42&amp;"a"</f>
        <v>10a</v>
      </c>
      <c r="B43" s="2035" t="str">
        <f t="shared" si="8"/>
        <v>Legende für Dienstplan Pflege (falls nicht im Plan integriert)</v>
      </c>
      <c r="C43" s="1999"/>
      <c r="D43" s="1996"/>
      <c r="E43" s="1996" t="s">
        <v>966</v>
      </c>
      <c r="F43" s="2010" t="str">
        <f t="shared" si="11"/>
        <v>___000100_10a_DienstplanPflege_Legende_000100</v>
      </c>
      <c r="G43" s="2040"/>
      <c r="AG43" s="178"/>
      <c r="AH43" s="1103" t="str">
        <f t="shared" si="9"/>
        <v>DienstplanPflege_Legende</v>
      </c>
      <c r="AI43" s="2143">
        <f t="shared" si="12"/>
        <v>0</v>
      </c>
      <c r="AJ43" s="2144" t="str">
        <f t="shared" si="13"/>
        <v>000100</v>
      </c>
      <c r="AL43" s="468" t="s">
        <v>2169</v>
      </c>
      <c r="AM43" s="1657" t="s">
        <v>2170</v>
      </c>
      <c r="AN43" s="362" t="str">
        <f t="shared" si="7"/>
        <v>Legende für Dienstplan Pflege (falls nicht im Plan integriert)</v>
      </c>
      <c r="AO43" s="221" t="s">
        <v>2172</v>
      </c>
      <c r="AP43" s="403" t="s">
        <v>2173</v>
      </c>
      <c r="AQ43" s="362" t="str">
        <f t="shared" si="10"/>
        <v>DienstplanPflege_Legende</v>
      </c>
    </row>
    <row r="44" spans="1:45">
      <c r="A44" s="2005" t="s">
        <v>985</v>
      </c>
      <c r="B44" s="2032" t="str">
        <f t="shared" si="8"/>
        <v>Facharztdiplom Aerztliche Leitung</v>
      </c>
      <c r="C44" s="1999"/>
      <c r="D44" s="1996"/>
      <c r="E44" s="1996" t="s">
        <v>966</v>
      </c>
      <c r="F44" s="2010" t="str">
        <f t="shared" si="11"/>
        <v>___000100_11_DiplomAerztlicheLeitung_000100</v>
      </c>
      <c r="G44" s="2040"/>
      <c r="AG44" s="178"/>
      <c r="AH44" s="1103" t="str">
        <f t="shared" si="9"/>
        <v>DiplomAerztlicheLeitung</v>
      </c>
      <c r="AI44" s="2143">
        <f t="shared" si="12"/>
        <v>0</v>
      </c>
      <c r="AJ44" s="2144" t="str">
        <f t="shared" si="13"/>
        <v>000100</v>
      </c>
      <c r="AL44" s="221" t="s">
        <v>1316</v>
      </c>
      <c r="AM44" s="403" t="s">
        <v>1315</v>
      </c>
      <c r="AN44" s="362" t="str">
        <f t="shared" si="7"/>
        <v>Facharztdiplom Aerztliche Leitung</v>
      </c>
      <c r="AO44" s="221" t="s">
        <v>987</v>
      </c>
      <c r="AP44" s="403" t="s">
        <v>1328</v>
      </c>
      <c r="AQ44" s="362" t="str">
        <f t="shared" si="10"/>
        <v>DiplomAerztlicheLeitung</v>
      </c>
    </row>
    <row r="45" spans="1:45">
      <c r="A45" s="2005" t="s">
        <v>986</v>
      </c>
      <c r="B45" s="2032" t="str">
        <f t="shared" si="8"/>
        <v>Diplom PflegeLeitung</v>
      </c>
      <c r="C45" s="1999"/>
      <c r="D45" s="1996"/>
      <c r="E45" s="1996" t="s">
        <v>966</v>
      </c>
      <c r="F45" s="2010" t="str">
        <f t="shared" si="11"/>
        <v>___000100_12_DiplomPflegeLeitung_000100</v>
      </c>
      <c r="G45" s="2040"/>
      <c r="AG45" s="178"/>
      <c r="AH45" s="1103" t="str">
        <f t="shared" si="9"/>
        <v>DiplomPflegeLeitung</v>
      </c>
      <c r="AI45" s="2143">
        <f t="shared" si="12"/>
        <v>0</v>
      </c>
      <c r="AJ45" s="2144" t="str">
        <f t="shared" si="13"/>
        <v>000100</v>
      </c>
      <c r="AL45" s="221" t="s">
        <v>1015</v>
      </c>
      <c r="AM45" s="403" t="s">
        <v>1317</v>
      </c>
      <c r="AN45" s="362" t="str">
        <f t="shared" si="7"/>
        <v>Diplom PflegeLeitung</v>
      </c>
      <c r="AO45" s="221" t="s">
        <v>988</v>
      </c>
      <c r="AP45" s="403" t="s">
        <v>1329</v>
      </c>
      <c r="AQ45" s="362" t="str">
        <f t="shared" si="10"/>
        <v>DiplomPflegeLeitung</v>
      </c>
    </row>
    <row r="46" spans="1:45">
      <c r="A46" s="2005" t="s">
        <v>1632</v>
      </c>
      <c r="B46" s="2032" t="str">
        <f t="shared" si="8"/>
        <v>Fortbildungsprogramm (Pflege +/- Ärzte)</v>
      </c>
      <c r="C46" s="1999"/>
      <c r="D46" s="1996"/>
      <c r="E46" s="1996" t="s">
        <v>966</v>
      </c>
      <c r="F46" s="2010" t="str">
        <f t="shared" si="11"/>
        <v>___000100_15_Fortbildungsprogramm_000100</v>
      </c>
      <c r="G46" s="2040"/>
      <c r="AG46" s="178"/>
      <c r="AH46" s="1103" t="str">
        <f t="shared" si="9"/>
        <v>Fortbildungsprogramm</v>
      </c>
      <c r="AI46" s="2143">
        <f t="shared" si="12"/>
        <v>0</v>
      </c>
      <c r="AJ46" s="2144" t="str">
        <f t="shared" si="13"/>
        <v>000100</v>
      </c>
      <c r="AL46" s="221" t="s">
        <v>1637</v>
      </c>
      <c r="AM46" s="403" t="s">
        <v>1638</v>
      </c>
      <c r="AN46" s="362" t="str">
        <f t="shared" si="7"/>
        <v>Fortbildungsprogramm (Pflege +/- Ärzte)</v>
      </c>
      <c r="AO46" s="221" t="s">
        <v>1634</v>
      </c>
      <c r="AP46" s="403" t="s">
        <v>1633</v>
      </c>
      <c r="AQ46" s="362" t="str">
        <f t="shared" si="10"/>
        <v>Fortbildungsprogramm</v>
      </c>
    </row>
    <row r="47" spans="1:45" ht="24.75" customHeight="1">
      <c r="A47" s="2005" t="s">
        <v>1008</v>
      </c>
      <c r="B47" s="2032" t="str">
        <f t="shared" si="8"/>
        <v>Weitere Dokumente</v>
      </c>
      <c r="C47" s="1999"/>
      <c r="D47" s="1996"/>
      <c r="E47" s="1996" t="s">
        <v>966</v>
      </c>
      <c r="F47" s="2010" t="str">
        <f t="shared" si="11"/>
        <v>___000100_20_Dokument_XXX_000100</v>
      </c>
      <c r="G47" s="2040"/>
      <c r="AG47" s="178"/>
      <c r="AH47" s="1103" t="str">
        <f t="shared" si="9"/>
        <v>Dokument_XXX</v>
      </c>
      <c r="AI47" s="2143">
        <f t="shared" si="12"/>
        <v>0</v>
      </c>
      <c r="AJ47" s="2144" t="str">
        <f t="shared" si="13"/>
        <v>000100</v>
      </c>
      <c r="AL47" s="400" t="s">
        <v>989</v>
      </c>
      <c r="AM47" s="403" t="s">
        <v>1304</v>
      </c>
      <c r="AN47" s="362" t="str">
        <f t="shared" si="7"/>
        <v>Weitere Dokumente</v>
      </c>
      <c r="AO47" s="402" t="s">
        <v>1483</v>
      </c>
      <c r="AP47" s="403" t="s">
        <v>1484</v>
      </c>
      <c r="AQ47" s="512" t="str">
        <f t="shared" si="10"/>
        <v>Dokument_XXX</v>
      </c>
    </row>
    <row r="48" spans="1:45" s="799" customFormat="1" ht="30" customHeight="1">
      <c r="D48" s="1948"/>
      <c r="E48" s="1949"/>
      <c r="F48" s="1949"/>
      <c r="H48" s="805"/>
      <c r="I48" s="805"/>
      <c r="J48" s="805"/>
      <c r="K48" s="805"/>
      <c r="L48" s="805"/>
      <c r="M48" s="805"/>
      <c r="N48" s="805"/>
      <c r="O48" s="805"/>
      <c r="P48" s="805"/>
      <c r="Q48" s="805"/>
      <c r="R48" s="805"/>
      <c r="S48" s="805"/>
      <c r="T48" s="805"/>
      <c r="U48" s="805"/>
      <c r="V48" s="805"/>
      <c r="W48" s="805"/>
      <c r="X48" s="805"/>
      <c r="Y48" s="805"/>
      <c r="Z48" s="805"/>
      <c r="AA48" s="805"/>
      <c r="AB48" s="805"/>
      <c r="AC48" s="805"/>
      <c r="AD48" s="805"/>
      <c r="AE48" s="805"/>
      <c r="AF48" s="2045"/>
      <c r="AG48" s="805"/>
      <c r="AH48"/>
      <c r="AL48" s="420" t="s">
        <v>1091</v>
      </c>
      <c r="AM48" s="421" t="s">
        <v>1204</v>
      </c>
      <c r="AN48" s="364" t="str">
        <f t="shared" si="7"/>
        <v>Antrag elektronisch verschicken</v>
      </c>
      <c r="AO48" s="2139"/>
      <c r="AP48" s="2142"/>
      <c r="AQ48" s="2130"/>
      <c r="AS48" s="2043"/>
    </row>
    <row r="49" spans="4:45" s="799" customFormat="1" ht="30" customHeight="1">
      <c r="D49" s="1948"/>
      <c r="E49" s="1949"/>
      <c r="F49" s="1949"/>
      <c r="H49" s="805"/>
      <c r="I49" s="805"/>
      <c r="J49" s="805"/>
      <c r="K49" s="805"/>
      <c r="L49" s="805"/>
      <c r="M49" s="805"/>
      <c r="N49" s="805"/>
      <c r="O49" s="805"/>
      <c r="P49" s="805"/>
      <c r="Q49" s="805"/>
      <c r="R49" s="805"/>
      <c r="S49" s="805"/>
      <c r="T49" s="805"/>
      <c r="U49" s="805"/>
      <c r="V49" s="805"/>
      <c r="W49" s="805"/>
      <c r="X49" s="805"/>
      <c r="Y49" s="805"/>
      <c r="Z49" s="805"/>
      <c r="AA49" s="805"/>
      <c r="AB49" s="805"/>
      <c r="AC49" s="805"/>
      <c r="AD49" s="805"/>
      <c r="AE49" s="805"/>
      <c r="AF49" s="2045"/>
      <c r="AG49" s="805"/>
      <c r="AH49"/>
      <c r="AL49" s="420" t="s">
        <v>1092</v>
      </c>
      <c r="AM49" s="421" t="s">
        <v>1205</v>
      </c>
      <c r="AN49" s="364" t="str">
        <f t="shared" si="7"/>
        <v>Antrag per Post verschicken</v>
      </c>
      <c r="AO49" s="2139"/>
      <c r="AP49" s="2142"/>
      <c r="AQ49" s="2130"/>
      <c r="AS49" s="2043"/>
    </row>
    <row r="50" spans="4:45" ht="22.5" customHeight="1"/>
  </sheetData>
  <sheetProtection algorithmName="SHA-512" hashValue="JU54SKLOirxOlDs1We3ACYrPgdPhCmTP3tSy9wcOYwCGH+WSH/Bco1aibSbYbE3g+qos+7xXZC/7qqmVAVsprw==" saltValue="Ch0OsRxnwYcHlkFo9qJVaw==" spinCount="100000" sheet="1" objects="1" scenarios="1"/>
  <mergeCells count="16">
    <mergeCell ref="E23:G23"/>
    <mergeCell ref="E20:G20"/>
    <mergeCell ref="E22:G22"/>
    <mergeCell ref="F27:G27"/>
    <mergeCell ref="AS1:AS19"/>
    <mergeCell ref="B4:G4"/>
    <mergeCell ref="B5:G5"/>
    <mergeCell ref="E7:G7"/>
    <mergeCell ref="AF1:AF6"/>
    <mergeCell ref="E8:G8"/>
    <mergeCell ref="E15:G15"/>
    <mergeCell ref="E16:G16"/>
    <mergeCell ref="E17:G17"/>
    <mergeCell ref="E19:G19"/>
    <mergeCell ref="E9:G9"/>
    <mergeCell ref="E12:G12"/>
  </mergeCells>
  <phoneticPr fontId="59" type="noConversion"/>
  <conditionalFormatting sqref="A1:A2">
    <cfRule type="containsText" dxfId="28" priority="2" operator="containsText" text="F">
      <formula>NOT(ISERROR(SEARCH("F",A1)))</formula>
    </cfRule>
  </conditionalFormatting>
  <dataValidations count="1">
    <dataValidation type="date" allowBlank="1" showInputMessage="1" showErrorMessage="1" sqref="C32 C35:C47" xr:uid="{00000000-0002-0000-0400-000000000000}">
      <formula1>36526</formula1>
      <formula2>72686</formula2>
    </dataValidation>
  </dataValidations>
  <hyperlinks>
    <hyperlink ref="E21" r:id="rId1" xr:uid="{00000000-0004-0000-0400-000000000000}"/>
    <hyperlink ref="F11" r:id="rId2" xr:uid="{00000000-0004-0000-0400-000001000000}"/>
    <hyperlink ref="F10" r:id="rId3" xr:uid="{00000000-0004-0000-0400-000002000000}"/>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Liste!$F$2:$F$3</xm:f>
          </x14:formula1>
          <xm:sqref>A1:A2</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
    <tabColor theme="3" tint="0.59999389629810485"/>
  </sheetPr>
  <dimension ref="A1:AK331"/>
  <sheetViews>
    <sheetView zoomScale="150" zoomScaleNormal="85" zoomScalePageLayoutView="90" workbookViewId="0">
      <pane xSplit="4" ySplit="4" topLeftCell="E5" activePane="bottomRight" state="frozen"/>
      <selection pane="topRight"/>
      <selection pane="bottomLeft"/>
      <selection pane="bottomRight" activeCell="B4" sqref="B4:C4"/>
    </sheetView>
  </sheetViews>
  <sheetFormatPr baseColWidth="10" defaultColWidth="10.83203125" defaultRowHeight="16"/>
  <cols>
    <col min="1" max="1" width="50.33203125" style="163" customWidth="1"/>
    <col min="2" max="2" width="17.83203125" style="511" customWidth="1"/>
    <col min="3" max="4" width="13.83203125" style="511" customWidth="1"/>
    <col min="5" max="5" width="78.33203125" style="271" customWidth="1"/>
    <col min="6" max="6" width="8.1640625" style="976" customWidth="1"/>
    <col min="7" max="7" width="8" style="977" customWidth="1"/>
    <col min="8" max="8" width="74.1640625" style="163" customWidth="1"/>
    <col min="9" max="9" width="14.6640625" style="1840" customWidth="1"/>
    <col min="10" max="12" width="5.1640625" style="163" customWidth="1"/>
    <col min="13" max="13" width="2.33203125" style="2041" customWidth="1"/>
    <col min="14" max="14" width="2.33203125" customWidth="1"/>
    <col min="15" max="15" width="15" style="1926" hidden="1" customWidth="1"/>
    <col min="16" max="16" width="15" style="1930" hidden="1" customWidth="1"/>
    <col min="17" max="17" width="21.1640625" style="1918" hidden="1" customWidth="1"/>
    <col min="18" max="18" width="5.1640625" hidden="1" customWidth="1"/>
    <col min="19" max="20" width="10.83203125" style="872" hidden="1" customWidth="1"/>
    <col min="21" max="21" width="10.83203125" style="877" hidden="1" customWidth="1"/>
    <col min="22" max="25" width="11.1640625" style="872" hidden="1" customWidth="1"/>
    <col min="26" max="26" width="14.1640625" style="925" hidden="1" customWidth="1"/>
    <col min="27" max="28" width="11.1640625" style="872" hidden="1" customWidth="1"/>
    <col min="29" max="29" width="10.83203125" hidden="1" customWidth="1"/>
    <col min="30" max="30" width="34.83203125" style="221" hidden="1" customWidth="1"/>
    <col min="31" max="31" width="34.83203125" style="347" hidden="1" customWidth="1"/>
    <col min="32" max="32" width="34.83203125" style="512" hidden="1" customWidth="1"/>
    <col min="33" max="33" width="34.83203125" style="221" hidden="1" customWidth="1"/>
    <col min="34" max="34" width="34.83203125" style="347" hidden="1" customWidth="1"/>
    <col min="35" max="35" width="34.83203125" style="2052" hidden="1" customWidth="1"/>
    <col min="36" max="36" width="2.33203125" customWidth="1"/>
    <col min="37" max="37" width="2.33203125" style="2041" customWidth="1"/>
  </cols>
  <sheetData>
    <row r="1" spans="1:37" s="510" customFormat="1" ht="40" customHeight="1" thickBot="1">
      <c r="A1" s="1039" t="s">
        <v>442</v>
      </c>
      <c r="B1" s="2380" t="s">
        <v>1077</v>
      </c>
      <c r="C1" s="2381"/>
      <c r="D1" s="795"/>
      <c r="E1" s="1043" t="str">
        <f>AI3</f>
        <v>Die Stationsleitung wird gebeten, alle blauen Felder (Spalte B, C, D) von oben nach unten nacheinander auszufüllen. Bitte die Erläuterungen in der Spalte E beachten.</v>
      </c>
      <c r="F1" s="2383" t="str">
        <f>AF5</f>
        <v>Quantitative Kriterien</v>
      </c>
      <c r="G1" s="2383"/>
      <c r="H1" s="1153" t="str">
        <f>AF4</f>
        <v>Die Berechnung der quantitativen Daten basiert auf den eingegebenen Daten:
 Bettenzahl, Stellen zum Zeitpunkt des Antrags, Aktivität des letzten Kalenderjahres</v>
      </c>
      <c r="I1" s="1839" t="str">
        <f>AF7</f>
        <v>Daten
MDSi</v>
      </c>
      <c r="J1" s="780"/>
      <c r="K1" s="780"/>
      <c r="L1" s="780"/>
      <c r="M1" s="2056"/>
      <c r="N1" s="2379" t="s">
        <v>1340</v>
      </c>
      <c r="O1" s="1924" t="s">
        <v>1981</v>
      </c>
      <c r="P1" s="1934" t="s">
        <v>1373</v>
      </c>
      <c r="Q1" s="1917" t="s">
        <v>1972</v>
      </c>
      <c r="R1" s="1054"/>
      <c r="S1" s="871" t="s">
        <v>1107</v>
      </c>
      <c r="T1" s="871" t="s">
        <v>1107</v>
      </c>
      <c r="U1" s="885" t="s">
        <v>1107</v>
      </c>
      <c r="V1" s="871" t="s">
        <v>1107</v>
      </c>
      <c r="W1" s="871" t="s">
        <v>1107</v>
      </c>
      <c r="X1" s="871" t="s">
        <v>1107</v>
      </c>
      <c r="Y1" s="871" t="s">
        <v>1107</v>
      </c>
      <c r="Z1" s="871" t="s">
        <v>1107</v>
      </c>
      <c r="AA1" s="871" t="s">
        <v>1107</v>
      </c>
      <c r="AB1" s="871" t="s">
        <v>1107</v>
      </c>
      <c r="AD1" s="808" t="s">
        <v>446</v>
      </c>
      <c r="AE1" s="809" t="s">
        <v>448</v>
      </c>
      <c r="AF1" s="632" t="s">
        <v>773</v>
      </c>
      <c r="AG1" s="808" t="s">
        <v>447</v>
      </c>
      <c r="AH1" s="809" t="s">
        <v>449</v>
      </c>
      <c r="AI1" s="2048" t="s">
        <v>772</v>
      </c>
      <c r="AJ1" s="2379" t="s">
        <v>1340</v>
      </c>
      <c r="AK1" s="2041"/>
    </row>
    <row r="2" spans="1:37" s="18" customFormat="1" ht="6" customHeight="1">
      <c r="A2" s="1164"/>
      <c r="B2" s="1049"/>
      <c r="C2" s="1049"/>
      <c r="D2" s="1049"/>
      <c r="E2" s="1044"/>
      <c r="F2" s="975"/>
      <c r="G2" s="984"/>
      <c r="H2" s="780"/>
      <c r="I2" s="1839"/>
      <c r="J2" s="780"/>
      <c r="K2" s="780"/>
      <c r="L2" s="780"/>
      <c r="M2" s="2041"/>
      <c r="N2" s="2379"/>
      <c r="O2" s="1925"/>
      <c r="P2" s="1934"/>
      <c r="Q2" s="1917"/>
      <c r="R2" s="1054"/>
      <c r="S2" s="871"/>
      <c r="T2" s="871"/>
      <c r="U2" s="885"/>
      <c r="V2" s="871"/>
      <c r="W2" s="871"/>
      <c r="X2" s="871"/>
      <c r="Y2" s="871"/>
      <c r="Z2" s="924"/>
      <c r="AA2" s="871"/>
      <c r="AB2" s="871"/>
      <c r="AC2" s="510"/>
      <c r="AD2" s="420" t="s">
        <v>1455</v>
      </c>
      <c r="AE2" s="347" t="s">
        <v>1454</v>
      </c>
      <c r="AF2" s="362" t="str">
        <f t="shared" ref="AF2:AF8" si="0">IF(AD2=0,"",IF($A$1="D",AD2,AE2))</f>
        <v>Zum Anfang, bitte das blaue Feld links anklicken, dann per TABULATOR weiter.</v>
      </c>
      <c r="AG2" s="221"/>
      <c r="AH2" s="347"/>
      <c r="AI2" s="2049"/>
      <c r="AJ2" s="2379"/>
      <c r="AK2" s="2041"/>
    </row>
    <row r="3" spans="1:37" s="18" customFormat="1" ht="39.75" customHeight="1">
      <c r="A3" s="1047" t="str">
        <f>AF3</f>
        <v>Antrag auf Zertifizierung</v>
      </c>
      <c r="B3" s="2344" t="str">
        <f>B15&amp;",
  "&amp;B13&amp;", "&amp;B12&amp;", "&amp;B11</f>
        <v xml:space="preserve">,
  , , </v>
      </c>
      <c r="C3" s="2344"/>
      <c r="D3" s="2344"/>
      <c r="E3" s="1159" t="str">
        <f>AI4</f>
        <v>Die auszufüllenden Felder können der Reihe nach per TABULATOR (= nach rechts) oder ENTER ( nach unten) ausgesucht werden.</v>
      </c>
      <c r="F3" s="975" t="str">
        <f>AI5</f>
        <v>Aktuell</v>
      </c>
      <c r="G3" s="984" t="str">
        <f>AI6</f>
        <v>Reglement</v>
      </c>
      <c r="H3" s="780"/>
      <c r="I3" s="1853" t="str">
        <f>AF8</f>
        <v>müssen mit MDSi übereinstimmen</v>
      </c>
      <c r="J3" s="780"/>
      <c r="K3" s="780"/>
      <c r="L3" s="780"/>
      <c r="M3" s="2041"/>
      <c r="N3" s="2379"/>
      <c r="O3" s="1925" t="s">
        <v>789</v>
      </c>
      <c r="P3" s="1934"/>
      <c r="Q3" s="1917"/>
      <c r="R3" s="1054"/>
      <c r="S3" s="871"/>
      <c r="T3" s="871"/>
      <c r="U3" s="885"/>
      <c r="V3" s="871"/>
      <c r="W3" s="871"/>
      <c r="X3" s="871"/>
      <c r="Y3" s="871"/>
      <c r="Z3" s="924"/>
      <c r="AA3" s="871"/>
      <c r="AB3" s="871"/>
      <c r="AC3" s="510"/>
      <c r="AD3" s="221" t="s">
        <v>2590</v>
      </c>
      <c r="AE3" s="347" t="s">
        <v>897</v>
      </c>
      <c r="AF3" s="362" t="str">
        <f t="shared" si="0"/>
        <v>Antrag auf Zertifizierung</v>
      </c>
      <c r="AG3" s="221" t="s">
        <v>2531</v>
      </c>
      <c r="AH3" s="347" t="s">
        <v>2532</v>
      </c>
      <c r="AI3" s="2049" t="str">
        <f>IF(AG3=0,"",IF($A$1="D",AG3,AH3))</f>
        <v>Die Stationsleitung wird gebeten, alle blauen Felder (Spalte B, C, D) von oben nach unten nacheinander auszufüllen. Bitte die Erläuterungen in der Spalte E beachten.</v>
      </c>
      <c r="AJ3" s="2379"/>
      <c r="AK3" s="2041"/>
    </row>
    <row r="4" spans="1:37" ht="22.5" customHeight="1">
      <c r="A4" s="1048"/>
      <c r="B4" s="2387"/>
      <c r="C4" s="2388"/>
      <c r="D4" s="1162" t="s">
        <v>887</v>
      </c>
      <c r="E4" s="1165" t="str">
        <f>AF2</f>
        <v>Zum Anfang, bitte das blaue Feld links anklicken, dann per TABULATOR weiter.</v>
      </c>
      <c r="H4" s="780"/>
      <c r="I4" s="1839"/>
      <c r="J4" s="780"/>
      <c r="K4" s="780"/>
      <c r="L4" s="780"/>
      <c r="M4" s="2042"/>
      <c r="N4" s="2379"/>
      <c r="O4" s="1925" t="s">
        <v>789</v>
      </c>
      <c r="P4" s="1934"/>
      <c r="Q4" s="1917"/>
      <c r="R4" s="1054"/>
      <c r="S4" s="871"/>
      <c r="T4" s="871"/>
      <c r="U4" s="885"/>
      <c r="V4" s="871"/>
      <c r="W4" s="871"/>
      <c r="X4" s="871"/>
      <c r="Y4" s="871"/>
      <c r="Z4" s="924"/>
      <c r="AA4" s="871"/>
      <c r="AB4" s="871"/>
      <c r="AC4" s="510"/>
      <c r="AD4" s="468" t="s">
        <v>1151</v>
      </c>
      <c r="AE4" s="347" t="s">
        <v>1202</v>
      </c>
      <c r="AF4" s="362" t="str">
        <f t="shared" si="0"/>
        <v>Die Berechnung der quantitativen Daten basiert auf den eingegebenen Daten:
 Bettenzahl, Stellen zum Zeitpunkt des Antrags, Aktivität des letzten Kalenderjahres</v>
      </c>
      <c r="AG4" s="468" t="s">
        <v>1452</v>
      </c>
      <c r="AH4" s="469" t="s">
        <v>1453</v>
      </c>
      <c r="AI4" s="2049" t="str">
        <f>IF(AG4=0,"",IF($A$1="D",AG4,AH4))</f>
        <v>Die auszufüllenden Felder können der Reihe nach per TABULATOR (= nach rechts) oder ENTER ( nach unten) ausgesucht werden.</v>
      </c>
      <c r="AJ4" s="2379"/>
      <c r="AK4" s="2042"/>
    </row>
    <row r="5" spans="1:37">
      <c r="B5" s="2062"/>
      <c r="M5" s="2042"/>
      <c r="AD5" s="420" t="s">
        <v>1147</v>
      </c>
      <c r="AE5" s="421" t="s">
        <v>1273</v>
      </c>
      <c r="AF5" s="846" t="str">
        <f t="shared" si="0"/>
        <v>Quantitative Kriterien</v>
      </c>
      <c r="AG5" s="420" t="s">
        <v>1144</v>
      </c>
      <c r="AH5" s="421" t="s">
        <v>1274</v>
      </c>
      <c r="AI5" s="2050" t="str">
        <f>IF(AG5=0,"",IF($A$1="D",AG5,AH5))</f>
        <v>Aktuell</v>
      </c>
      <c r="AK5" s="2042"/>
    </row>
    <row r="6" spans="1:37" s="510" customFormat="1" ht="56.25" customHeight="1">
      <c r="A6" s="990" t="str">
        <f>A3</f>
        <v>Antrag auf Zertifizierung</v>
      </c>
      <c r="B6" s="2352" t="str">
        <f>B3</f>
        <v xml:space="preserve">,
  , , </v>
      </c>
      <c r="C6" s="2352"/>
      <c r="D6" s="2352"/>
      <c r="E6" s="2154" t="str">
        <f>AF6</f>
        <v>Bitte vor dem Ausfüllen des Antrags die Anmerkungen im Reiter PROZEDUR gut durchlesen.</v>
      </c>
      <c r="F6" s="976"/>
      <c r="G6" s="977"/>
      <c r="H6" s="780"/>
      <c r="I6" s="1839"/>
      <c r="J6" s="780"/>
      <c r="K6" s="780"/>
      <c r="L6" s="780"/>
      <c r="M6" s="2057"/>
      <c r="O6" s="1925"/>
      <c r="P6" s="1934"/>
      <c r="Q6" s="1917"/>
      <c r="S6" s="871"/>
      <c r="T6" s="871"/>
      <c r="U6" s="885"/>
      <c r="V6" s="871"/>
      <c r="W6" s="871"/>
      <c r="X6" s="871"/>
      <c r="Y6" s="871"/>
      <c r="Z6" s="924"/>
      <c r="AA6" s="871"/>
      <c r="AB6" s="871"/>
      <c r="AD6" s="420" t="s">
        <v>2549</v>
      </c>
      <c r="AE6" s="421" t="s">
        <v>2526</v>
      </c>
      <c r="AF6" s="846" t="str">
        <f t="shared" si="0"/>
        <v>Bitte vor dem Ausfüllen des Antrags die Anmerkungen im Reiter PROZEDUR gut durchlesen.</v>
      </c>
      <c r="AG6" s="420" t="s">
        <v>1145</v>
      </c>
      <c r="AH6" s="421" t="s">
        <v>1275</v>
      </c>
      <c r="AI6" s="2050" t="str">
        <f>IF(AG6=0,"",IF($A$1="D",AG6,AH6))</f>
        <v>Reglement</v>
      </c>
      <c r="AK6" s="2043"/>
    </row>
    <row r="7" spans="1:37" ht="16.5" customHeight="1">
      <c r="C7" s="2164" t="s">
        <v>2548</v>
      </c>
      <c r="D7" s="2165">
        <f>'0 PROZEDUR'!C9</f>
        <v>45929</v>
      </c>
      <c r="E7" s="2166" t="str">
        <f>AI7</f>
        <v>Link zur neuesten Version: s. Reiter PROZEDUR</v>
      </c>
      <c r="M7" s="2042"/>
      <c r="AD7" s="258" t="s">
        <v>1916</v>
      </c>
      <c r="AE7" s="781" t="s">
        <v>1943</v>
      </c>
      <c r="AF7" s="476" t="str">
        <f t="shared" si="0"/>
        <v>Daten
MDSi</v>
      </c>
      <c r="AG7" s="420" t="s">
        <v>2552</v>
      </c>
      <c r="AH7" s="421" t="s">
        <v>2551</v>
      </c>
      <c r="AI7" s="2050" t="str">
        <f>IF(AG7=0,"",IF($A$1="D",AG7,AH7))</f>
        <v>Link zur neuesten Version: s. Reiter PROZEDUR</v>
      </c>
      <c r="AK7" s="2042"/>
    </row>
    <row r="8" spans="1:37" ht="16.5" customHeight="1">
      <c r="E8" s="2153"/>
      <c r="M8" s="2042"/>
      <c r="AD8" s="221" t="s">
        <v>1915</v>
      </c>
      <c r="AE8" s="347" t="s">
        <v>1944</v>
      </c>
      <c r="AF8" s="364" t="str">
        <f t="shared" si="0"/>
        <v>müssen mit MDSi übereinstimmen</v>
      </c>
      <c r="AG8" s="2060"/>
      <c r="AH8" s="2061"/>
      <c r="AI8" s="2050"/>
      <c r="AK8" s="2042"/>
    </row>
    <row r="9" spans="1:37">
      <c r="E9" s="2059"/>
      <c r="M9" s="2042"/>
      <c r="AF9" s="364"/>
      <c r="AI9" s="2049"/>
      <c r="AK9" s="2042"/>
    </row>
    <row r="10" spans="1:37" s="799" customFormat="1" ht="23" customHeight="1">
      <c r="A10" s="805" t="str">
        <f>AF10</f>
        <v>Datum Antrag Zertifizierung</v>
      </c>
      <c r="B10" s="823"/>
      <c r="C10" s="504"/>
      <c r="D10" s="504"/>
      <c r="E10" s="798" t="str">
        <f>AI10</f>
        <v>dd.mm.yyyy</v>
      </c>
      <c r="F10" s="976"/>
      <c r="G10" s="977"/>
      <c r="H10" s="805"/>
      <c r="I10" s="1841"/>
      <c r="J10" s="805"/>
      <c r="K10" s="805"/>
      <c r="L10" s="805"/>
      <c r="M10" s="2042"/>
      <c r="O10" s="1927"/>
      <c r="P10" s="1935"/>
      <c r="Q10" s="881"/>
      <c r="S10" s="873" t="str">
        <f>IF(DAY(B10)&lt;10,"0","")&amp;DAY(B10)&amp;"."&amp;IF(MONTH(B10)&lt;10,"0","")&amp;MONTH(B10)&amp;"."&amp;YEAR(B10)</f>
        <v>00.01.1900</v>
      </c>
      <c r="T10" s="873"/>
      <c r="U10" s="874"/>
      <c r="V10" s="873"/>
      <c r="W10" s="873"/>
      <c r="X10" s="873"/>
      <c r="Y10" s="873"/>
      <c r="Z10" s="926"/>
      <c r="AA10" s="873"/>
      <c r="AB10" s="873"/>
      <c r="AD10" s="257" t="s">
        <v>2591</v>
      </c>
      <c r="AE10" s="325" t="s">
        <v>664</v>
      </c>
      <c r="AF10" s="364" t="str">
        <f t="shared" ref="AF10:AF20" si="1">IF(AD10=0,"",IF($A$1="D",AD10,AE10))</f>
        <v>Datum Antrag Zertifizierung</v>
      </c>
      <c r="AG10" s="803" t="s">
        <v>813</v>
      </c>
      <c r="AH10" s="804" t="s">
        <v>1541</v>
      </c>
      <c r="AI10" s="2051" t="str">
        <f t="shared" ref="AI10:AI18" si="2">IF(AG10=0,"",IF($A$1="D",AG10,AH10))</f>
        <v>dd.mm.yyyy</v>
      </c>
      <c r="AK10" s="2042"/>
    </row>
    <row r="11" spans="1:37" s="799" customFormat="1" ht="23" customHeight="1">
      <c r="A11" s="805" t="str">
        <f t="shared" ref="A11:A20" si="3">AF11</f>
        <v>Kanton</v>
      </c>
      <c r="B11" s="835"/>
      <c r="C11" s="836"/>
      <c r="D11" s="836"/>
      <c r="E11" s="798"/>
      <c r="F11" s="976"/>
      <c r="G11" s="977"/>
      <c r="H11" s="805"/>
      <c r="I11" s="1841"/>
      <c r="J11" s="805"/>
      <c r="K11" s="805"/>
      <c r="L11" s="805"/>
      <c r="M11" s="2042"/>
      <c r="O11" s="1927"/>
      <c r="P11" s="1935"/>
      <c r="Q11" s="881"/>
      <c r="S11" s="873"/>
      <c r="T11" s="873"/>
      <c r="U11" s="874"/>
      <c r="V11" s="873"/>
      <c r="W11" s="873"/>
      <c r="X11" s="873"/>
      <c r="Y11" s="873"/>
      <c r="Z11" s="926"/>
      <c r="AA11" s="873"/>
      <c r="AB11" s="873"/>
      <c r="AD11" s="257" t="s">
        <v>429</v>
      </c>
      <c r="AE11" s="325" t="s">
        <v>430</v>
      </c>
      <c r="AF11" s="364" t="str">
        <f t="shared" si="1"/>
        <v>Kanton</v>
      </c>
      <c r="AG11" s="420"/>
      <c r="AH11" s="421"/>
      <c r="AI11" s="2051" t="str">
        <f t="shared" si="2"/>
        <v/>
      </c>
      <c r="AK11" s="2042"/>
    </row>
    <row r="12" spans="1:37" s="799" customFormat="1" ht="23" customHeight="1">
      <c r="A12" s="805" t="str">
        <f t="shared" si="3"/>
        <v>Stadt</v>
      </c>
      <c r="B12" s="2384"/>
      <c r="C12" s="2384"/>
      <c r="D12" s="837"/>
      <c r="E12" s="798"/>
      <c r="F12" s="976"/>
      <c r="G12" s="977"/>
      <c r="H12" s="805"/>
      <c r="I12" s="1841"/>
      <c r="J12" s="805"/>
      <c r="K12" s="805"/>
      <c r="L12" s="805"/>
      <c r="M12" s="2042"/>
      <c r="O12" s="1927"/>
      <c r="P12" s="1935"/>
      <c r="Q12" s="881"/>
      <c r="S12" s="873"/>
      <c r="T12" s="873"/>
      <c r="U12" s="874"/>
      <c r="V12" s="873"/>
      <c r="W12" s="873"/>
      <c r="X12" s="873"/>
      <c r="Y12" s="873"/>
      <c r="Z12" s="926"/>
      <c r="AA12" s="873"/>
      <c r="AB12" s="873"/>
      <c r="AD12" s="257" t="s">
        <v>719</v>
      </c>
      <c r="AE12" s="325" t="s">
        <v>720</v>
      </c>
      <c r="AF12" s="364" t="str">
        <f t="shared" si="1"/>
        <v>Stadt</v>
      </c>
      <c r="AG12" s="420"/>
      <c r="AH12" s="421"/>
      <c r="AI12" s="2051" t="str">
        <f t="shared" si="2"/>
        <v/>
      </c>
      <c r="AK12" s="2042"/>
    </row>
    <row r="13" spans="1:37" s="799" customFormat="1" ht="38" customHeight="1">
      <c r="A13" s="805" t="str">
        <f t="shared" si="3"/>
        <v>Spital</v>
      </c>
      <c r="B13" s="2385"/>
      <c r="C13" s="2385"/>
      <c r="D13" s="837"/>
      <c r="E13" s="798" t="str">
        <f>AI13</f>
        <v>Vollständiger, offizieller Name</v>
      </c>
      <c r="F13" s="976"/>
      <c r="G13" s="977"/>
      <c r="H13" s="805"/>
      <c r="I13" s="1841"/>
      <c r="J13" s="805"/>
      <c r="K13" s="805"/>
      <c r="L13" s="805"/>
      <c r="M13" s="2042"/>
      <c r="O13" s="1927"/>
      <c r="P13" s="1935"/>
      <c r="Q13" s="881"/>
      <c r="S13" s="873"/>
      <c r="T13" s="873"/>
      <c r="U13" s="874"/>
      <c r="V13" s="873"/>
      <c r="W13" s="873"/>
      <c r="X13" s="873"/>
      <c r="Y13" s="873"/>
      <c r="Z13" s="926"/>
      <c r="AA13" s="873"/>
      <c r="AB13" s="873"/>
      <c r="AD13" s="257" t="s">
        <v>441</v>
      </c>
      <c r="AE13" s="325" t="s">
        <v>665</v>
      </c>
      <c r="AF13" s="364" t="str">
        <f t="shared" si="1"/>
        <v>Spital</v>
      </c>
      <c r="AG13" s="420" t="s">
        <v>2078</v>
      </c>
      <c r="AH13" s="421" t="s">
        <v>1024</v>
      </c>
      <c r="AI13" s="2051" t="str">
        <f t="shared" si="2"/>
        <v>Vollständiger, offizieller Name</v>
      </c>
      <c r="AK13" s="2042"/>
    </row>
    <row r="14" spans="1:37" s="799" customFormat="1" ht="23" customHeight="1">
      <c r="A14" s="805" t="str">
        <f t="shared" si="3"/>
        <v>Spitalname - Kurzform</v>
      </c>
      <c r="B14" s="2384"/>
      <c r="C14" s="2384"/>
      <c r="D14" s="837"/>
      <c r="E14" s="838" t="str">
        <f>AI14</f>
        <v>Bitte ohne Leerzeichen, Sonderzeichen, Akzente und Umlaute. z.B.:  "SpitalMuensterlingen" oder "USZ"</v>
      </c>
      <c r="F14" s="976"/>
      <c r="G14" s="977"/>
      <c r="H14" s="805"/>
      <c r="I14" s="1841"/>
      <c r="J14" s="805"/>
      <c r="K14" s="805"/>
      <c r="L14" s="805"/>
      <c r="M14" s="2042"/>
      <c r="O14" s="1927"/>
      <c r="P14" s="1935"/>
      <c r="Q14" s="881"/>
      <c r="S14" s="873"/>
      <c r="T14" s="873"/>
      <c r="U14" s="874"/>
      <c r="V14" s="873"/>
      <c r="W14" s="873"/>
      <c r="X14" s="873"/>
      <c r="Y14" s="873"/>
      <c r="Z14" s="926"/>
      <c r="AA14" s="873"/>
      <c r="AB14" s="873"/>
      <c r="AD14" s="839" t="s">
        <v>1020</v>
      </c>
      <c r="AE14" s="840" t="s">
        <v>1021</v>
      </c>
      <c r="AF14" s="841" t="str">
        <f t="shared" si="1"/>
        <v>Spitalname - Kurzform</v>
      </c>
      <c r="AG14" s="420" t="s">
        <v>1028</v>
      </c>
      <c r="AH14" s="421" t="s">
        <v>1027</v>
      </c>
      <c r="AI14" s="2051" t="str">
        <f t="shared" si="2"/>
        <v>Bitte ohne Leerzeichen, Sonderzeichen, Akzente und Umlaute. z.B.:  "SpitalMuensterlingen" oder "USZ"</v>
      </c>
      <c r="AK14" s="2042"/>
    </row>
    <row r="15" spans="1:37" s="799" customFormat="1" ht="38" customHeight="1">
      <c r="A15" s="805" t="str">
        <f t="shared" si="3"/>
        <v>Station</v>
      </c>
      <c r="B15" s="2385"/>
      <c r="C15" s="2385"/>
      <c r="D15" s="837"/>
      <c r="E15" s="798" t="str">
        <f>AI13</f>
        <v>Vollständiger, offizieller Name</v>
      </c>
      <c r="F15" s="976"/>
      <c r="G15" s="977"/>
      <c r="H15" s="805"/>
      <c r="I15" s="1841"/>
      <c r="J15" s="805"/>
      <c r="K15" s="805"/>
      <c r="L15" s="805"/>
      <c r="M15" s="2044"/>
      <c r="O15" s="1927"/>
      <c r="P15" s="1935"/>
      <c r="Q15" s="881"/>
      <c r="S15" s="873"/>
      <c r="T15" s="873"/>
      <c r="U15" s="874"/>
      <c r="V15" s="873"/>
      <c r="W15" s="873"/>
      <c r="X15" s="873"/>
      <c r="Y15" s="873"/>
      <c r="Z15" s="926"/>
      <c r="AA15" s="873"/>
      <c r="AB15" s="873"/>
      <c r="AD15" s="257" t="s">
        <v>670</v>
      </c>
      <c r="AE15" s="325" t="s">
        <v>672</v>
      </c>
      <c r="AF15" s="364" t="str">
        <f t="shared" si="1"/>
        <v>Station</v>
      </c>
      <c r="AG15" s="420"/>
      <c r="AH15" s="421"/>
      <c r="AI15" s="2051" t="str">
        <f t="shared" si="2"/>
        <v/>
      </c>
      <c r="AK15" s="2044"/>
    </row>
    <row r="16" spans="1:37" s="799" customFormat="1" ht="26.25" customHeight="1">
      <c r="A16" s="805" t="str">
        <f t="shared" si="3"/>
        <v>Stationsname - Kurzform</v>
      </c>
      <c r="B16" s="2384"/>
      <c r="C16" s="2384"/>
      <c r="D16" s="837"/>
      <c r="E16" s="838" t="str">
        <f>AI16</f>
        <v>Bitte ohne Leerzeichen, Sonderzeichen, Akzente und Umlaute. 
z.B.:  "Intensivstation" oder "Neonatologie" oder "CHIPS"</v>
      </c>
      <c r="F16" s="976"/>
      <c r="G16" s="977"/>
      <c r="H16" s="805"/>
      <c r="I16" s="1841"/>
      <c r="J16" s="805"/>
      <c r="K16" s="805"/>
      <c r="L16" s="805"/>
      <c r="M16" s="2042"/>
      <c r="O16" s="1927"/>
      <c r="P16" s="1935"/>
      <c r="Q16" s="881"/>
      <c r="S16" s="873"/>
      <c r="T16" s="873"/>
      <c r="U16" s="874"/>
      <c r="V16" s="873"/>
      <c r="W16" s="873"/>
      <c r="X16" s="873"/>
      <c r="Y16" s="873"/>
      <c r="Z16" s="926"/>
      <c r="AA16" s="873"/>
      <c r="AB16" s="873"/>
      <c r="AD16" s="839" t="s">
        <v>1022</v>
      </c>
      <c r="AE16" s="840" t="s">
        <v>1023</v>
      </c>
      <c r="AF16" s="841" t="str">
        <f t="shared" si="1"/>
        <v>Stationsname - Kurzform</v>
      </c>
      <c r="AG16" s="842" t="s">
        <v>1069</v>
      </c>
      <c r="AH16" s="843" t="s">
        <v>1070</v>
      </c>
      <c r="AI16" s="2051" t="str">
        <f t="shared" si="2"/>
        <v>Bitte ohne Leerzeichen, Sonderzeichen, Akzente und Umlaute. 
z.B.:  "Intensivstation" oder "Neonatologie" oder "CHIPS"</v>
      </c>
      <c r="AK16" s="2042"/>
    </row>
    <row r="17" spans="1:37" ht="39" customHeight="1">
      <c r="A17" s="797" t="str">
        <f t="shared" si="3"/>
        <v>Typ der Intensivstation</v>
      </c>
      <c r="M17" s="2044"/>
      <c r="AD17" s="221" t="s">
        <v>791</v>
      </c>
      <c r="AE17" s="347" t="s">
        <v>794</v>
      </c>
      <c r="AF17" s="362" t="str">
        <f t="shared" si="1"/>
        <v>Typ der Intensivstation</v>
      </c>
      <c r="AG17" s="221" t="s">
        <v>792</v>
      </c>
      <c r="AH17" s="347" t="s">
        <v>793</v>
      </c>
      <c r="AI17" s="2049" t="str">
        <f t="shared" si="2"/>
        <v>Bitte "X" wählen (1 Auswahl)</v>
      </c>
      <c r="AK17" s="2044"/>
    </row>
    <row r="18" spans="1:37" s="799" customFormat="1" ht="23" customHeight="1">
      <c r="A18" s="805" t="str">
        <f t="shared" si="3"/>
        <v>Erwachsene IS</v>
      </c>
      <c r="B18" s="844"/>
      <c r="C18" s="2376" t="str">
        <f>IF(COUNTA(B18:B20)&gt;1,AI18,"")</f>
        <v/>
      </c>
      <c r="D18" s="845"/>
      <c r="E18" s="2350" t="str">
        <f>AI17</f>
        <v>Bitte "X" wählen (1 Auswahl)</v>
      </c>
      <c r="F18" s="976"/>
      <c r="G18" s="977"/>
      <c r="H18" s="805"/>
      <c r="I18" s="1841"/>
      <c r="J18" s="805"/>
      <c r="K18" s="805"/>
      <c r="L18" s="805"/>
      <c r="M18" s="2044"/>
      <c r="O18" s="1927"/>
      <c r="P18" s="1935"/>
      <c r="Q18" s="881"/>
      <c r="S18" s="873"/>
      <c r="T18" s="873"/>
      <c r="U18" s="874"/>
      <c r="V18" s="873"/>
      <c r="W18" s="873"/>
      <c r="X18" s="873"/>
      <c r="Y18" s="873"/>
      <c r="Z18" s="926"/>
      <c r="AA18" s="873"/>
      <c r="AB18" s="873"/>
      <c r="AD18" s="420" t="s">
        <v>435</v>
      </c>
      <c r="AE18" s="421" t="s">
        <v>1211</v>
      </c>
      <c r="AF18" s="364" t="str">
        <f t="shared" si="1"/>
        <v>Erwachsene IS</v>
      </c>
      <c r="AG18" s="420" t="s">
        <v>1025</v>
      </c>
      <c r="AH18" s="421" t="s">
        <v>1026</v>
      </c>
      <c r="AI18" s="2051" t="str">
        <f t="shared" si="2"/>
        <v>Bitte nur 1  Feld auswählen</v>
      </c>
      <c r="AK18" s="2044"/>
    </row>
    <row r="19" spans="1:37" s="799" customFormat="1" ht="23" customHeight="1">
      <c r="A19" s="805" t="str">
        <f t="shared" si="3"/>
        <v>Pädiatrische IS</v>
      </c>
      <c r="B19" s="844"/>
      <c r="C19" s="2376"/>
      <c r="D19" s="845"/>
      <c r="E19" s="2350"/>
      <c r="F19" s="976"/>
      <c r="G19" s="977"/>
      <c r="H19" s="805"/>
      <c r="I19" s="1841"/>
      <c r="J19" s="805"/>
      <c r="K19" s="805"/>
      <c r="L19" s="805"/>
      <c r="M19" s="2044"/>
      <c r="O19" s="1927"/>
      <c r="P19" s="1935"/>
      <c r="Q19" s="881"/>
      <c r="S19" s="873"/>
      <c r="T19" s="873"/>
      <c r="U19" s="874"/>
      <c r="V19" s="873"/>
      <c r="W19" s="873"/>
      <c r="X19" s="873"/>
      <c r="Y19" s="873"/>
      <c r="Z19" s="926"/>
      <c r="AA19" s="873"/>
      <c r="AB19" s="873"/>
      <c r="AD19" s="420" t="s">
        <v>436</v>
      </c>
      <c r="AE19" s="421" t="s">
        <v>1212</v>
      </c>
      <c r="AF19" s="364" t="str">
        <f t="shared" si="1"/>
        <v>Pädiatrische IS</v>
      </c>
      <c r="AG19" s="420"/>
      <c r="AH19" s="421"/>
      <c r="AI19" s="2050"/>
      <c r="AK19" s="2044"/>
    </row>
    <row r="20" spans="1:37" s="799" customFormat="1" ht="23" customHeight="1">
      <c r="A20" s="805" t="str">
        <f t="shared" si="3"/>
        <v>Pädiatrische/Neonatologische IS</v>
      </c>
      <c r="B20" s="844"/>
      <c r="C20" s="2376"/>
      <c r="D20" s="845"/>
      <c r="E20" s="2350"/>
      <c r="F20" s="976"/>
      <c r="G20" s="977"/>
      <c r="H20" s="805"/>
      <c r="I20" s="1841"/>
      <c r="J20" s="805"/>
      <c r="K20" s="805"/>
      <c r="L20" s="805"/>
      <c r="M20" s="2044"/>
      <c r="O20" s="1927"/>
      <c r="P20" s="1935"/>
      <c r="Q20" s="881"/>
      <c r="S20" s="873"/>
      <c r="T20" s="873"/>
      <c r="U20" s="874"/>
      <c r="V20" s="873"/>
      <c r="W20" s="873"/>
      <c r="X20" s="873"/>
      <c r="Y20" s="873"/>
      <c r="Z20" s="926"/>
      <c r="AA20" s="873"/>
      <c r="AB20" s="873"/>
      <c r="AD20" s="420" t="s">
        <v>437</v>
      </c>
      <c r="AE20" s="421" t="s">
        <v>1213</v>
      </c>
      <c r="AF20" s="364" t="str">
        <f t="shared" si="1"/>
        <v>Pädiatrische/Neonatologische IS</v>
      </c>
      <c r="AG20" s="420"/>
      <c r="AH20" s="421"/>
      <c r="AI20" s="2050"/>
      <c r="AK20" s="2044"/>
    </row>
    <row r="21" spans="1:37" s="799" customFormat="1">
      <c r="A21" s="805"/>
      <c r="E21" s="798"/>
      <c r="F21" s="976"/>
      <c r="G21" s="977"/>
      <c r="H21" s="805"/>
      <c r="I21" s="1841"/>
      <c r="J21" s="805"/>
      <c r="K21" s="805"/>
      <c r="L21" s="805"/>
      <c r="M21" s="2044"/>
      <c r="O21" s="1927"/>
      <c r="P21" s="1935"/>
      <c r="Q21" s="881"/>
      <c r="S21" s="873"/>
      <c r="T21" s="873"/>
      <c r="U21" s="874"/>
      <c r="V21" s="873"/>
      <c r="W21" s="873"/>
      <c r="X21" s="873"/>
      <c r="Y21" s="873"/>
      <c r="Z21" s="926"/>
      <c r="AA21" s="873"/>
      <c r="AB21" s="873"/>
      <c r="AD21" s="420"/>
      <c r="AE21" s="421"/>
      <c r="AF21" s="364"/>
      <c r="AG21" s="420"/>
      <c r="AH21" s="421"/>
      <c r="AI21" s="2050"/>
      <c r="AK21" s="2044"/>
    </row>
    <row r="22" spans="1:37" s="799" customFormat="1" ht="23" customHeight="1">
      <c r="A22" s="805" t="str">
        <f>AF22</f>
        <v>Bettenzahl für diesen Antrag</v>
      </c>
      <c r="B22" s="1097"/>
      <c r="C22" s="847"/>
      <c r="D22" s="847"/>
      <c r="E22" s="838" t="str">
        <f>AI22</f>
        <v>Bitte die Zahl der zu zertifizierenden Betten eingeben</v>
      </c>
      <c r="F22" s="985"/>
      <c r="G22" s="985"/>
      <c r="H22" s="838"/>
      <c r="I22" s="1841"/>
      <c r="J22" s="838"/>
      <c r="K22" s="838"/>
      <c r="L22" s="838"/>
      <c r="M22" s="2045"/>
      <c r="O22" s="1928" t="s">
        <v>789</v>
      </c>
      <c r="P22" s="1935" t="s">
        <v>1982</v>
      </c>
      <c r="Q22" s="1919"/>
      <c r="S22" s="873"/>
      <c r="T22" s="873"/>
      <c r="U22" s="874"/>
      <c r="V22" s="873"/>
      <c r="W22" s="873"/>
      <c r="X22" s="873"/>
      <c r="Y22" s="873"/>
      <c r="Z22" s="926"/>
      <c r="AA22" s="873"/>
      <c r="AB22" s="873"/>
      <c r="AD22" s="848" t="s">
        <v>809</v>
      </c>
      <c r="AE22" s="849" t="s">
        <v>1214</v>
      </c>
      <c r="AF22" s="364" t="str">
        <f t="shared" ref="AF22:AF54" si="4">IF(AD22=0,"",IF($A$1="D",AD22,AE22))</f>
        <v>Bettenzahl für diesen Antrag</v>
      </c>
      <c r="AG22" s="848" t="s">
        <v>810</v>
      </c>
      <c r="AH22" s="849" t="s">
        <v>910</v>
      </c>
      <c r="AI22" s="2051" t="str">
        <f t="shared" ref="AI22:AI31" si="5">IF(AG22=0,"",IF($A$1="D",AG22,AH22))</f>
        <v>Bitte die Zahl der zu zertifizierenden Betten eingeben</v>
      </c>
      <c r="AK22" s="2045"/>
    </row>
    <row r="23" spans="1:37" s="799" customFormat="1" ht="17">
      <c r="A23" s="805" t="str">
        <f t="shared" ref="A23:A24" si="6">AF23</f>
        <v>Baujahr</v>
      </c>
      <c r="B23" s="1097"/>
      <c r="C23" s="847"/>
      <c r="D23" s="847"/>
      <c r="E23" s="838" t="str">
        <f>AI23</f>
        <v>Ursprünglicher Bau (yyyy)</v>
      </c>
      <c r="F23" s="976"/>
      <c r="G23" s="977"/>
      <c r="H23" s="805"/>
      <c r="I23" s="1841"/>
      <c r="J23" s="805"/>
      <c r="K23" s="805"/>
      <c r="L23" s="805"/>
      <c r="M23" s="2045"/>
      <c r="O23" s="1927"/>
      <c r="P23" s="1935"/>
      <c r="Q23" s="881"/>
      <c r="S23" s="873"/>
      <c r="T23" s="873"/>
      <c r="U23" s="874"/>
      <c r="V23" s="873"/>
      <c r="W23" s="873"/>
      <c r="X23" s="873"/>
      <c r="Y23" s="873"/>
      <c r="Z23" s="926"/>
      <c r="AA23" s="873"/>
      <c r="AB23" s="873"/>
      <c r="AD23" s="420" t="s">
        <v>817</v>
      </c>
      <c r="AE23" s="421" t="s">
        <v>818</v>
      </c>
      <c r="AF23" s="364" t="str">
        <f t="shared" si="4"/>
        <v>Baujahr</v>
      </c>
      <c r="AG23" s="420" t="s">
        <v>819</v>
      </c>
      <c r="AH23" s="421" t="s">
        <v>911</v>
      </c>
      <c r="AI23" s="2051" t="str">
        <f t="shared" si="5"/>
        <v>Ursprünglicher Bau (yyyy)</v>
      </c>
      <c r="AK23" s="2045"/>
    </row>
    <row r="24" spans="1:37" s="799" customFormat="1" ht="17">
      <c r="A24" s="805" t="str">
        <f t="shared" si="6"/>
        <v>Jahr der letzten Renovierung</v>
      </c>
      <c r="B24" s="1097"/>
      <c r="C24" s="847"/>
      <c r="D24" s="847"/>
      <c r="E24" s="838" t="str">
        <f>AI24</f>
        <v>Falls nicht zutreffend bitte leerlassen</v>
      </c>
      <c r="F24" s="976"/>
      <c r="G24" s="977"/>
      <c r="H24" s="805"/>
      <c r="I24" s="1841"/>
      <c r="J24" s="805"/>
      <c r="K24" s="805"/>
      <c r="L24" s="805"/>
      <c r="M24" s="2046"/>
      <c r="O24" s="1927"/>
      <c r="P24" s="1935"/>
      <c r="Q24" s="881"/>
      <c r="S24" s="873"/>
      <c r="T24" s="873"/>
      <c r="U24" s="874"/>
      <c r="V24" s="873"/>
      <c r="W24" s="873"/>
      <c r="X24" s="873"/>
      <c r="Y24" s="873"/>
      <c r="Z24" s="926"/>
      <c r="AA24" s="873"/>
      <c r="AB24" s="873"/>
      <c r="AD24" s="420" t="s">
        <v>821</v>
      </c>
      <c r="AE24" s="421" t="s">
        <v>820</v>
      </c>
      <c r="AF24" s="364" t="str">
        <f t="shared" si="4"/>
        <v>Jahr der letzten Renovierung</v>
      </c>
      <c r="AG24" s="420" t="s">
        <v>1034</v>
      </c>
      <c r="AH24" s="421" t="s">
        <v>1035</v>
      </c>
      <c r="AI24" s="2051" t="str">
        <f t="shared" si="5"/>
        <v>Falls nicht zutreffend bitte leerlassen</v>
      </c>
      <c r="AK24" s="2046"/>
    </row>
    <row r="25" spans="1:37" s="799" customFormat="1">
      <c r="A25" s="805"/>
      <c r="B25" s="847"/>
      <c r="C25" s="847"/>
      <c r="D25" s="847"/>
      <c r="E25" s="798"/>
      <c r="F25" s="976"/>
      <c r="G25" s="977"/>
      <c r="H25" s="805"/>
      <c r="I25" s="1841"/>
      <c r="J25" s="805"/>
      <c r="K25" s="805"/>
      <c r="L25" s="805"/>
      <c r="M25" s="2044"/>
      <c r="O25" s="1927"/>
      <c r="P25" s="1935"/>
      <c r="Q25" s="881"/>
      <c r="S25" s="873"/>
      <c r="T25" s="873"/>
      <c r="U25" s="874"/>
      <c r="V25" s="873"/>
      <c r="W25" s="873"/>
      <c r="X25" s="873"/>
      <c r="Y25" s="873"/>
      <c r="Z25" s="926"/>
      <c r="AA25" s="873"/>
      <c r="AB25" s="873"/>
      <c r="AD25" s="420"/>
      <c r="AE25" s="421"/>
      <c r="AF25" s="364" t="str">
        <f t="shared" si="4"/>
        <v/>
      </c>
      <c r="AG25" s="420"/>
      <c r="AH25" s="421"/>
      <c r="AI25" s="2051" t="str">
        <f t="shared" si="5"/>
        <v/>
      </c>
      <c r="AK25" s="2044"/>
    </row>
    <row r="26" spans="1:37" s="799" customFormat="1" ht="47" customHeight="1">
      <c r="A26" s="805" t="str">
        <f>AF26</f>
        <v>Ist diese Station bereits einmal zertifiziert oder anerkannt worden?</v>
      </c>
      <c r="B26" s="844"/>
      <c r="C26" s="847"/>
      <c r="D26" s="847"/>
      <c r="E26" s="805" t="str">
        <f>AI26</f>
        <v>Bitte wählen</v>
      </c>
      <c r="F26" s="976"/>
      <c r="G26" s="977"/>
      <c r="H26" s="805"/>
      <c r="I26" s="1841"/>
      <c r="J26" s="805"/>
      <c r="K26" s="805"/>
      <c r="L26" s="805"/>
      <c r="M26" s="2044"/>
      <c r="O26" s="1927"/>
      <c r="P26" s="1935"/>
      <c r="Q26" s="881"/>
      <c r="S26" s="873"/>
      <c r="T26" s="873"/>
      <c r="U26" s="874"/>
      <c r="V26" s="873"/>
      <c r="W26" s="873"/>
      <c r="X26" s="873"/>
      <c r="Y26" s="873"/>
      <c r="Z26" s="926"/>
      <c r="AA26" s="873"/>
      <c r="AB26" s="873"/>
      <c r="AD26" s="420" t="s">
        <v>808</v>
      </c>
      <c r="AE26" s="421" t="s">
        <v>904</v>
      </c>
      <c r="AF26" s="364" t="str">
        <f t="shared" si="4"/>
        <v>Ist diese Station bereits einmal zertifiziert oder anerkannt worden?</v>
      </c>
      <c r="AG26" s="803" t="s">
        <v>428</v>
      </c>
      <c r="AH26" s="421" t="s">
        <v>811</v>
      </c>
      <c r="AI26" s="2051" t="str">
        <f t="shared" si="5"/>
        <v>Bitte wählen</v>
      </c>
      <c r="AK26" s="2044"/>
    </row>
    <row r="27" spans="1:37" ht="34.5" customHeight="1">
      <c r="A27" s="810"/>
      <c r="AD27" s="221" t="s">
        <v>1215</v>
      </c>
      <c r="AE27" s="347" t="s">
        <v>905</v>
      </c>
      <c r="AF27" s="362" t="str">
        <f t="shared" si="4"/>
        <v>ERSTE ZERTIFIZIERUNG, bitte die orangen Felder leer lassen</v>
      </c>
      <c r="AG27" s="221" t="s">
        <v>812</v>
      </c>
      <c r="AH27" s="347" t="s">
        <v>912</v>
      </c>
      <c r="AI27" s="2049" t="str">
        <f t="shared" si="5"/>
        <v>Re-Zertifizierung, bitte orangene Felder ausfüllen</v>
      </c>
    </row>
    <row r="28" spans="1:37" s="799" customFormat="1" ht="23" customHeight="1">
      <c r="A28" s="805" t="str">
        <f>AF28</f>
        <v>Datum der letzten Zertifizierung /Visitation</v>
      </c>
      <c r="B28" s="850"/>
      <c r="C28" s="2386" t="str">
        <f>IF(B26=Liste!G3,AF27,IF(B26=Liste!G2,AI27,""))</f>
        <v/>
      </c>
      <c r="D28" s="847"/>
      <c r="E28" s="798" t="str">
        <f>E10</f>
        <v>dd.mm.yyyy</v>
      </c>
      <c r="F28" s="976"/>
      <c r="G28" s="977"/>
      <c r="H28" s="805"/>
      <c r="I28" s="1841"/>
      <c r="J28" s="805"/>
      <c r="K28" s="805"/>
      <c r="L28" s="805"/>
      <c r="M28" s="2041"/>
      <c r="O28" s="1927"/>
      <c r="P28" s="1935"/>
      <c r="Q28" s="881"/>
      <c r="S28" s="873"/>
      <c r="T28" s="873"/>
      <c r="U28" s="874"/>
      <c r="V28" s="873"/>
      <c r="W28" s="873"/>
      <c r="X28" s="873"/>
      <c r="Y28" s="873"/>
      <c r="Z28" s="926"/>
      <c r="AA28" s="873"/>
      <c r="AB28" s="873"/>
      <c r="AD28" s="420" t="s">
        <v>2592</v>
      </c>
      <c r="AE28" s="421" t="s">
        <v>1557</v>
      </c>
      <c r="AF28" s="364" t="str">
        <f t="shared" si="4"/>
        <v>Datum der letzten Zertifizierung /Visitation</v>
      </c>
      <c r="AG28" s="420"/>
      <c r="AH28" s="421"/>
      <c r="AI28" s="2051" t="str">
        <f t="shared" si="5"/>
        <v/>
      </c>
      <c r="AK28" s="2041"/>
    </row>
    <row r="29" spans="1:37" s="799" customFormat="1" ht="23" customHeight="1">
      <c r="A29" s="805" t="str">
        <f>AF29</f>
        <v>Gültigkeitsdauer, aktuelles Zertifikat, von</v>
      </c>
      <c r="B29" s="850"/>
      <c r="C29" s="2386"/>
      <c r="D29" s="847"/>
      <c r="E29" s="805" t="str">
        <f>AI29</f>
        <v>Beginn Gültigkeit, Datum nach SGI-Zertifkat, dd.mm.yyyy</v>
      </c>
      <c r="F29" s="976"/>
      <c r="G29" s="977"/>
      <c r="H29" s="805"/>
      <c r="I29" s="1841"/>
      <c r="J29" s="805"/>
      <c r="K29" s="805"/>
      <c r="L29" s="805"/>
      <c r="M29" s="2041"/>
      <c r="O29" s="1927" t="s">
        <v>789</v>
      </c>
      <c r="P29" s="1935"/>
      <c r="Q29" s="881"/>
      <c r="S29" s="873"/>
      <c r="T29" s="873"/>
      <c r="U29" s="874"/>
      <c r="V29" s="873"/>
      <c r="W29" s="873"/>
      <c r="X29" s="873"/>
      <c r="Y29" s="873"/>
      <c r="Z29" s="926"/>
      <c r="AA29" s="873"/>
      <c r="AB29" s="873"/>
      <c r="AD29" s="420" t="s">
        <v>1550</v>
      </c>
      <c r="AE29" s="421" t="s">
        <v>1551</v>
      </c>
      <c r="AF29" s="364" t="str">
        <f t="shared" si="4"/>
        <v>Gültigkeitsdauer, aktuelles Zertifikat, von</v>
      </c>
      <c r="AG29" s="420" t="s">
        <v>1553</v>
      </c>
      <c r="AH29" s="421" t="s">
        <v>1555</v>
      </c>
      <c r="AI29" s="2051" t="str">
        <f t="shared" si="5"/>
        <v>Beginn Gültigkeit, Datum nach SGI-Zertifkat, dd.mm.yyyy</v>
      </c>
      <c r="AK29" s="2041"/>
    </row>
    <row r="30" spans="1:37" s="799" customFormat="1" ht="23" customHeight="1">
      <c r="A30" s="805" t="str">
        <f>AF30</f>
        <v>Gültigkeitsdauer, aktuelles Zertifikat, bis</v>
      </c>
      <c r="B30" s="850"/>
      <c r="C30" s="2386"/>
      <c r="D30" s="847"/>
      <c r="E30" s="805" t="str">
        <f>AI30</f>
        <v>Ende Gültigkeit, Datum nach SGI-Zertifkat, dd.mm.yyyy</v>
      </c>
      <c r="F30" s="976"/>
      <c r="G30" s="977"/>
      <c r="H30" s="805"/>
      <c r="I30" s="1841"/>
      <c r="J30" s="805"/>
      <c r="K30" s="805"/>
      <c r="L30" s="805"/>
      <c r="M30" s="2041"/>
      <c r="O30" s="1927" t="s">
        <v>789</v>
      </c>
      <c r="P30" s="1935"/>
      <c r="Q30" s="881"/>
      <c r="S30" s="873"/>
      <c r="T30" s="873"/>
      <c r="U30" s="874"/>
      <c r="V30" s="873"/>
      <c r="W30" s="873"/>
      <c r="X30" s="873"/>
      <c r="Y30" s="873"/>
      <c r="Z30" s="926"/>
      <c r="AA30" s="873"/>
      <c r="AB30" s="873"/>
      <c r="AD30" s="420" t="s">
        <v>1549</v>
      </c>
      <c r="AE30" s="421" t="s">
        <v>1552</v>
      </c>
      <c r="AF30" s="364" t="str">
        <f t="shared" ref="AF30" si="7">IF(AD30=0,"",IF($A$1="D",AD30,AE30))</f>
        <v>Gültigkeitsdauer, aktuelles Zertifikat, bis</v>
      </c>
      <c r="AG30" s="420" t="s">
        <v>1554</v>
      </c>
      <c r="AH30" s="421" t="s">
        <v>1556</v>
      </c>
      <c r="AI30" s="2051" t="str">
        <f t="shared" ref="AI30" si="8">IF(AG30=0,"",IF($A$1="D",AG30,AH30))</f>
        <v>Ende Gültigkeit, Datum nach SGI-Zertifkat, dd.mm.yyyy</v>
      </c>
      <c r="AK30" s="2041"/>
    </row>
    <row r="31" spans="1:37" s="799" customFormat="1" ht="23" customHeight="1">
      <c r="A31" s="805" t="str">
        <f>AF31</f>
        <v>Bettenanzahl bisher zertifiziert</v>
      </c>
      <c r="B31" s="851"/>
      <c r="C31" s="2386"/>
      <c r="D31" s="847"/>
      <c r="E31" s="805" t="str">
        <f>AI31</f>
        <v>Bitte Zahl eintragen</v>
      </c>
      <c r="F31" s="976"/>
      <c r="G31" s="977"/>
      <c r="H31" s="805"/>
      <c r="I31" s="1841" t="s">
        <v>788</v>
      </c>
      <c r="J31" s="805"/>
      <c r="K31" s="805"/>
      <c r="L31" s="805"/>
      <c r="M31" s="2041"/>
      <c r="O31" s="1927"/>
      <c r="P31" s="1935"/>
      <c r="Q31" s="881"/>
      <c r="S31" s="873"/>
      <c r="T31" s="873"/>
      <c r="U31" s="874"/>
      <c r="V31" s="873"/>
      <c r="W31" s="873"/>
      <c r="X31" s="873"/>
      <c r="Y31" s="873"/>
      <c r="Z31" s="926"/>
      <c r="AA31" s="873"/>
      <c r="AB31" s="873"/>
      <c r="AD31" s="848" t="s">
        <v>931</v>
      </c>
      <c r="AE31" s="849" t="s">
        <v>932</v>
      </c>
      <c r="AF31" s="364" t="str">
        <f t="shared" si="4"/>
        <v>Bettenanzahl bisher zertifiziert</v>
      </c>
      <c r="AG31" s="848" t="s">
        <v>790</v>
      </c>
      <c r="AH31" s="849" t="s">
        <v>913</v>
      </c>
      <c r="AI31" s="2051" t="str">
        <f t="shared" si="5"/>
        <v>Bitte Zahl eintragen</v>
      </c>
      <c r="AK31" s="2041"/>
    </row>
    <row r="32" spans="1:37" ht="36" customHeight="1">
      <c r="A32" s="2369" t="str">
        <f>AF32</f>
        <v>Gründe des Antrags auf Rezertifizierung</v>
      </c>
      <c r="B32" s="2369"/>
      <c r="C32" s="2386"/>
      <c r="AD32" s="221" t="s">
        <v>814</v>
      </c>
      <c r="AE32" s="347" t="s">
        <v>815</v>
      </c>
      <c r="AF32" s="362" t="str">
        <f t="shared" si="4"/>
        <v>Gründe des Antrags auf Rezertifizierung</v>
      </c>
    </row>
    <row r="33" spans="1:37" s="799" customFormat="1" ht="23" customHeight="1">
      <c r="A33" s="805" t="str">
        <f t="shared" ref="A33:A36" si="9">AF33</f>
        <v>Ablauf des Zertifikats</v>
      </c>
      <c r="B33" s="851"/>
      <c r="C33" s="2386"/>
      <c r="D33" s="847"/>
      <c r="E33" s="2350" t="str">
        <f>AI33</f>
        <v>Bitte "X" wählen wenn zutreffend (mehrere Antworten möglich, mindestens eine)</v>
      </c>
      <c r="F33" s="976"/>
      <c r="G33" s="977"/>
      <c r="H33" s="805"/>
      <c r="I33" s="1841"/>
      <c r="J33" s="805"/>
      <c r="K33" s="805"/>
      <c r="L33" s="805"/>
      <c r="M33" s="2041"/>
      <c r="O33" s="1927"/>
      <c r="P33" s="1935"/>
      <c r="Q33" s="881"/>
      <c r="S33" s="873"/>
      <c r="T33" s="873"/>
      <c r="U33" s="874"/>
      <c r="V33" s="873"/>
      <c r="W33" s="873"/>
      <c r="X33" s="873"/>
      <c r="Y33" s="873"/>
      <c r="Z33" s="926"/>
      <c r="AA33" s="873"/>
      <c r="AB33" s="873"/>
      <c r="AD33" s="420" t="s">
        <v>802</v>
      </c>
      <c r="AE33" s="421" t="s">
        <v>803</v>
      </c>
      <c r="AF33" s="364" t="str">
        <f t="shared" si="4"/>
        <v>Ablauf des Zertifikats</v>
      </c>
      <c r="AG33" s="803" t="s">
        <v>1071</v>
      </c>
      <c r="AH33" s="804" t="s">
        <v>1072</v>
      </c>
      <c r="AI33" s="2051" t="str">
        <f t="shared" ref="AI33:AI51" si="10">IF(AG33=0,"",IF($A$1="D",AG33,AH33))</f>
        <v>Bitte "X" wählen wenn zutreffend (mehrere Antworten möglich, mindestens eine)</v>
      </c>
      <c r="AK33" s="2041"/>
    </row>
    <row r="34" spans="1:37" s="799" customFormat="1" ht="23" customHeight="1">
      <c r="A34" s="805" t="str">
        <f t="shared" si="9"/>
        <v>Wechsel der ärztlichen Leitung</v>
      </c>
      <c r="B34" s="851"/>
      <c r="C34" s="2386"/>
      <c r="D34" s="847"/>
      <c r="E34" s="2350"/>
      <c r="F34" s="976"/>
      <c r="G34" s="977"/>
      <c r="H34" s="805"/>
      <c r="I34" s="1841"/>
      <c r="J34" s="805"/>
      <c r="K34" s="805"/>
      <c r="L34" s="805"/>
      <c r="M34" s="2041"/>
      <c r="O34" s="1927"/>
      <c r="P34" s="1935"/>
      <c r="Q34" s="881"/>
      <c r="S34" s="873"/>
      <c r="T34" s="873"/>
      <c r="U34" s="874"/>
      <c r="V34" s="873"/>
      <c r="W34" s="873"/>
      <c r="X34" s="873"/>
      <c r="Y34" s="873"/>
      <c r="Z34" s="926"/>
      <c r="AA34" s="873"/>
      <c r="AB34" s="873"/>
      <c r="AD34" s="420" t="s">
        <v>816</v>
      </c>
      <c r="AE34" s="421" t="s">
        <v>796</v>
      </c>
      <c r="AF34" s="364" t="str">
        <f t="shared" si="4"/>
        <v>Wechsel der ärztlichen Leitung</v>
      </c>
      <c r="AG34" s="420"/>
      <c r="AH34" s="421"/>
      <c r="AI34" s="2051" t="str">
        <f t="shared" si="10"/>
        <v/>
      </c>
      <c r="AK34" s="2041"/>
    </row>
    <row r="35" spans="1:37" s="799" customFormat="1" ht="23" customHeight="1">
      <c r="A35" s="805" t="str">
        <f t="shared" si="9"/>
        <v>Wechsel der Leitung Pflege</v>
      </c>
      <c r="B35" s="851"/>
      <c r="C35" s="2386"/>
      <c r="D35" s="847"/>
      <c r="E35" s="2350"/>
      <c r="F35" s="976"/>
      <c r="G35" s="977"/>
      <c r="H35" s="805"/>
      <c r="I35" s="1841"/>
      <c r="J35" s="805"/>
      <c r="K35" s="805"/>
      <c r="L35" s="805"/>
      <c r="M35" s="2041"/>
      <c r="O35" s="1927"/>
      <c r="P35" s="1935"/>
      <c r="Q35" s="881"/>
      <c r="S35" s="873"/>
      <c r="T35" s="873"/>
      <c r="U35" s="874"/>
      <c r="V35" s="873"/>
      <c r="W35" s="873"/>
      <c r="X35" s="873"/>
      <c r="Y35" s="873"/>
      <c r="Z35" s="926"/>
      <c r="AA35" s="873"/>
      <c r="AB35" s="873"/>
      <c r="AD35" s="420" t="s">
        <v>431</v>
      </c>
      <c r="AE35" s="421" t="s">
        <v>797</v>
      </c>
      <c r="AF35" s="364" t="str">
        <f t="shared" si="4"/>
        <v>Wechsel der Leitung Pflege</v>
      </c>
      <c r="AG35" s="420"/>
      <c r="AH35" s="421"/>
      <c r="AI35" s="2051" t="str">
        <f t="shared" si="10"/>
        <v/>
      </c>
      <c r="AK35" s="2041"/>
    </row>
    <row r="36" spans="1:37" s="799" customFormat="1" ht="23" customHeight="1">
      <c r="A36" s="805" t="str">
        <f t="shared" si="9"/>
        <v>Änderung der Bettenanzahl</v>
      </c>
      <c r="B36" s="851"/>
      <c r="C36" s="2386"/>
      <c r="D36" s="847"/>
      <c r="E36" s="2350"/>
      <c r="F36" s="976"/>
      <c r="G36" s="977"/>
      <c r="H36" s="805"/>
      <c r="I36" s="1841"/>
      <c r="J36" s="805"/>
      <c r="K36" s="805"/>
      <c r="L36" s="805"/>
      <c r="M36" s="2041"/>
      <c r="O36" s="1927"/>
      <c r="P36" s="1935"/>
      <c r="Q36" s="881"/>
      <c r="S36" s="873"/>
      <c r="T36" s="873"/>
      <c r="U36" s="874"/>
      <c r="V36" s="873"/>
      <c r="W36" s="873"/>
      <c r="X36" s="873"/>
      <c r="Y36" s="873"/>
      <c r="Z36" s="926"/>
      <c r="AA36" s="873"/>
      <c r="AB36" s="873"/>
      <c r="AD36" s="420" t="s">
        <v>798</v>
      </c>
      <c r="AE36" s="421" t="s">
        <v>799</v>
      </c>
      <c r="AF36" s="364" t="str">
        <f t="shared" si="4"/>
        <v>Änderung der Bettenanzahl</v>
      </c>
      <c r="AG36" s="420"/>
      <c r="AH36" s="421"/>
      <c r="AI36" s="2051" t="str">
        <f t="shared" si="10"/>
        <v/>
      </c>
      <c r="AK36" s="2041"/>
    </row>
    <row r="37" spans="1:37" s="799" customFormat="1" ht="23" customHeight="1">
      <c r="A37" s="805" t="str">
        <f t="shared" ref="A37:A39" si="11">AF37</f>
        <v>Neubau</v>
      </c>
      <c r="B37" s="851"/>
      <c r="C37" s="2386"/>
      <c r="D37" s="847"/>
      <c r="E37" s="2350"/>
      <c r="F37" s="976"/>
      <c r="G37" s="977"/>
      <c r="H37" s="805"/>
      <c r="I37" s="1841"/>
      <c r="J37" s="805"/>
      <c r="K37" s="805"/>
      <c r="L37" s="805"/>
      <c r="M37" s="2041"/>
      <c r="O37" s="1927"/>
      <c r="P37" s="1935"/>
      <c r="Q37" s="881"/>
      <c r="S37" s="873"/>
      <c r="T37" s="873"/>
      <c r="U37" s="874"/>
      <c r="V37" s="873"/>
      <c r="W37" s="873"/>
      <c r="X37" s="873"/>
      <c r="Y37" s="873"/>
      <c r="Z37" s="926"/>
      <c r="AA37" s="873"/>
      <c r="AB37" s="873"/>
      <c r="AD37" s="420" t="s">
        <v>785</v>
      </c>
      <c r="AE37" s="421" t="s">
        <v>800</v>
      </c>
      <c r="AF37" s="364" t="str">
        <f t="shared" si="4"/>
        <v>Neubau</v>
      </c>
      <c r="AG37" s="420"/>
      <c r="AH37" s="421"/>
      <c r="AI37" s="2051" t="str">
        <f t="shared" si="10"/>
        <v/>
      </c>
      <c r="AK37" s="2041"/>
    </row>
    <row r="38" spans="1:37" s="799" customFormat="1" ht="23" customHeight="1">
      <c r="A38" s="805" t="str">
        <f t="shared" si="11"/>
        <v>Renovierung</v>
      </c>
      <c r="B38" s="851"/>
      <c r="C38" s="2386"/>
      <c r="D38" s="847"/>
      <c r="E38" s="2350"/>
      <c r="F38" s="976"/>
      <c r="G38" s="977"/>
      <c r="H38" s="805"/>
      <c r="I38" s="1841"/>
      <c r="J38" s="805"/>
      <c r="K38" s="805"/>
      <c r="L38" s="805"/>
      <c r="M38" s="2041"/>
      <c r="O38" s="1927"/>
      <c r="P38" s="1935"/>
      <c r="Q38" s="881"/>
      <c r="S38" s="873"/>
      <c r="T38" s="873"/>
      <c r="U38" s="874"/>
      <c r="V38" s="873"/>
      <c r="W38" s="873"/>
      <c r="X38" s="873"/>
      <c r="Y38" s="873"/>
      <c r="Z38" s="926"/>
      <c r="AA38" s="873"/>
      <c r="AB38" s="873"/>
      <c r="AD38" s="420" t="s">
        <v>801</v>
      </c>
      <c r="AE38" s="421" t="s">
        <v>786</v>
      </c>
      <c r="AF38" s="364" t="str">
        <f t="shared" si="4"/>
        <v>Renovierung</v>
      </c>
      <c r="AG38" s="420"/>
      <c r="AH38" s="421"/>
      <c r="AI38" s="2051" t="str">
        <f t="shared" si="10"/>
        <v/>
      </c>
      <c r="AK38" s="2041"/>
    </row>
    <row r="39" spans="1:37" s="799" customFormat="1" ht="34" customHeight="1">
      <c r="A39" s="805" t="str">
        <f t="shared" si="11"/>
        <v>Andere</v>
      </c>
      <c r="B39" s="2353"/>
      <c r="C39" s="2353"/>
      <c r="D39" s="2353"/>
      <c r="E39" s="798" t="str">
        <f>AI39</f>
        <v>Freier Text</v>
      </c>
      <c r="F39" s="976"/>
      <c r="G39" s="977"/>
      <c r="H39" s="805"/>
      <c r="I39" s="1841"/>
      <c r="J39" s="805"/>
      <c r="K39" s="805"/>
      <c r="L39" s="805"/>
      <c r="M39" s="2041"/>
      <c r="O39" s="1927"/>
      <c r="P39" s="1935"/>
      <c r="Q39" s="881"/>
      <c r="S39" s="873"/>
      <c r="T39" s="873"/>
      <c r="U39" s="874"/>
      <c r="V39" s="873"/>
      <c r="W39" s="873"/>
      <c r="X39" s="873"/>
      <c r="Y39" s="873"/>
      <c r="Z39" s="926"/>
      <c r="AA39" s="873"/>
      <c r="AB39" s="873"/>
      <c r="AD39" s="848" t="s">
        <v>804</v>
      </c>
      <c r="AE39" s="849" t="s">
        <v>805</v>
      </c>
      <c r="AF39" s="364" t="str">
        <f t="shared" si="4"/>
        <v>Andere</v>
      </c>
      <c r="AG39" s="848" t="s">
        <v>807</v>
      </c>
      <c r="AH39" s="849" t="s">
        <v>806</v>
      </c>
      <c r="AI39" s="2051" t="str">
        <f t="shared" si="10"/>
        <v>Freier Text</v>
      </c>
      <c r="AK39" s="2041"/>
    </row>
    <row r="40" spans="1:37">
      <c r="AD40" s="400"/>
      <c r="AE40" s="401"/>
      <c r="AF40" s="362" t="str">
        <f t="shared" si="4"/>
        <v/>
      </c>
      <c r="AG40" s="400"/>
      <c r="AH40" s="401"/>
      <c r="AI40" s="2049" t="str">
        <f t="shared" si="10"/>
        <v/>
      </c>
    </row>
    <row r="41" spans="1:37" ht="36" customHeight="1">
      <c r="A41" s="2369" t="str">
        <f t="shared" ref="A41:A49" si="12">AF41</f>
        <v>Angaben zu Spital &amp; Umgebung</v>
      </c>
      <c r="B41" s="2369"/>
      <c r="AD41" s="221" t="s">
        <v>1060</v>
      </c>
      <c r="AE41" s="347" t="s">
        <v>1216</v>
      </c>
      <c r="AF41" s="362" t="str">
        <f t="shared" si="4"/>
        <v>Angaben zu Spital &amp; Umgebung</v>
      </c>
      <c r="AI41" s="2049" t="str">
        <f t="shared" si="10"/>
        <v/>
      </c>
    </row>
    <row r="42" spans="1:37" s="799" customFormat="1" ht="42" customHeight="1">
      <c r="A42" s="795" t="str">
        <f t="shared" si="12"/>
        <v>Einzugsgebiet, Region</v>
      </c>
      <c r="B42" s="2370"/>
      <c r="C42" s="2370"/>
      <c r="D42" s="2370"/>
      <c r="E42" s="798" t="str">
        <f t="shared" ref="E42:E49" si="13">AI42</f>
        <v>Bitte die Region, für die das Spital Erstbehandlung durchführt, eingeben. Freier Text.</v>
      </c>
      <c r="F42" s="976"/>
      <c r="G42" s="977"/>
      <c r="H42" s="805"/>
      <c r="I42" s="1841"/>
      <c r="J42" s="805"/>
      <c r="K42" s="805"/>
      <c r="L42" s="805"/>
      <c r="M42" s="2041"/>
      <c r="O42" s="1927"/>
      <c r="P42" s="1935"/>
      <c r="Q42" s="881"/>
      <c r="S42" s="873"/>
      <c r="T42" s="873"/>
      <c r="U42" s="874"/>
      <c r="V42" s="873"/>
      <c r="W42" s="873"/>
      <c r="X42" s="873"/>
      <c r="Y42" s="873"/>
      <c r="Z42" s="926"/>
      <c r="AA42" s="873"/>
      <c r="AB42" s="873"/>
      <c r="AD42" s="420" t="s">
        <v>1064</v>
      </c>
      <c r="AE42" s="421" t="s">
        <v>1217</v>
      </c>
      <c r="AF42" s="364" t="str">
        <f t="shared" si="4"/>
        <v>Einzugsgebiet, Region</v>
      </c>
      <c r="AG42" s="420" t="s">
        <v>1065</v>
      </c>
      <c r="AH42" s="421" t="s">
        <v>1277</v>
      </c>
      <c r="AI42" s="2051" t="str">
        <f t="shared" si="10"/>
        <v>Bitte die Region, für die das Spital Erstbehandlung durchführt, eingeben. Freier Text.</v>
      </c>
      <c r="AK42" s="2041"/>
    </row>
    <row r="43" spans="1:37" s="799" customFormat="1" ht="23" customHeight="1">
      <c r="A43" s="795" t="str">
        <f t="shared" si="12"/>
        <v>Einzugsgebiet, Bevölkerung</v>
      </c>
      <c r="B43" s="852"/>
      <c r="C43" s="847"/>
      <c r="D43" s="847"/>
      <c r="E43" s="798" t="str">
        <f t="shared" si="13"/>
        <v>Bitte Zahl der Bevölkerung, für die das Spital Erstbehandlung durchführt, eingeben.</v>
      </c>
      <c r="F43" s="976"/>
      <c r="G43" s="977"/>
      <c r="H43" s="805"/>
      <c r="I43" s="1841"/>
      <c r="J43" s="805"/>
      <c r="K43" s="805"/>
      <c r="L43" s="805"/>
      <c r="M43" s="2041"/>
      <c r="O43" s="1927"/>
      <c r="P43" s="1935"/>
      <c r="Q43" s="881"/>
      <c r="S43" s="873"/>
      <c r="T43" s="873"/>
      <c r="U43" s="874"/>
      <c r="V43" s="873"/>
      <c r="W43" s="873"/>
      <c r="X43" s="873"/>
      <c r="Y43" s="873"/>
      <c r="Z43" s="926"/>
      <c r="AA43" s="873"/>
      <c r="AB43" s="873"/>
      <c r="AD43" s="420" t="s">
        <v>1062</v>
      </c>
      <c r="AE43" s="421" t="s">
        <v>1218</v>
      </c>
      <c r="AF43" s="364" t="str">
        <f t="shared" si="4"/>
        <v>Einzugsgebiet, Bevölkerung</v>
      </c>
      <c r="AG43" s="420" t="s">
        <v>1063</v>
      </c>
      <c r="AH43" s="421" t="s">
        <v>1278</v>
      </c>
      <c r="AI43" s="2051" t="str">
        <f t="shared" si="10"/>
        <v>Bitte Zahl der Bevölkerung, für die das Spital Erstbehandlung durchführt, eingeben.</v>
      </c>
      <c r="AK43" s="2041"/>
    </row>
    <row r="44" spans="1:37" s="799" customFormat="1" ht="23" customHeight="1">
      <c r="A44" s="795" t="str">
        <f t="shared" si="12"/>
        <v>Anzahl Akutbetten im Spital</v>
      </c>
      <c r="B44" s="853"/>
      <c r="C44" s="847"/>
      <c r="D44" s="847"/>
      <c r="E44" s="798" t="str">
        <f t="shared" si="13"/>
        <v>Bitte offizielle Zahl des Spitals /Spitanetzes eingeben</v>
      </c>
      <c r="F44" s="976"/>
      <c r="G44" s="977"/>
      <c r="H44" s="805"/>
      <c r="I44" s="1841"/>
      <c r="J44" s="805"/>
      <c r="K44" s="805"/>
      <c r="L44" s="805"/>
      <c r="M44" s="2041"/>
      <c r="O44" s="1927"/>
      <c r="P44" s="1935"/>
      <c r="Q44" s="881"/>
      <c r="S44" s="873"/>
      <c r="T44" s="873"/>
      <c r="U44" s="874"/>
      <c r="V44" s="873"/>
      <c r="W44" s="873"/>
      <c r="X44" s="873"/>
      <c r="Y44" s="873"/>
      <c r="Z44" s="926"/>
      <c r="AA44" s="873"/>
      <c r="AB44" s="873"/>
      <c r="AD44" s="420" t="s">
        <v>1061</v>
      </c>
      <c r="AE44" s="421" t="s">
        <v>1220</v>
      </c>
      <c r="AF44" s="364" t="str">
        <f t="shared" si="4"/>
        <v>Anzahl Akutbetten im Spital</v>
      </c>
      <c r="AG44" s="420" t="s">
        <v>1066</v>
      </c>
      <c r="AH44" s="421" t="s">
        <v>1279</v>
      </c>
      <c r="AI44" s="2051" t="str">
        <f t="shared" si="10"/>
        <v>Bitte offizielle Zahl des Spitals /Spitanetzes eingeben</v>
      </c>
      <c r="AK44" s="2041"/>
    </row>
    <row r="45" spans="1:37" s="799" customFormat="1" ht="27.75" customHeight="1">
      <c r="A45" s="795" t="str">
        <f t="shared" si="12"/>
        <v>Anzahl IMC-Betten im Spital</v>
      </c>
      <c r="B45" s="853"/>
      <c r="C45" s="847"/>
      <c r="D45" s="847"/>
      <c r="E45" s="798" t="str">
        <f t="shared" si="13"/>
        <v>Bitte Zahl eingeben. Falls keine IMC im Spital, bitte 0 eingeben.</v>
      </c>
      <c r="F45" s="976"/>
      <c r="G45" s="977"/>
      <c r="H45" s="805"/>
      <c r="I45" s="1841"/>
      <c r="J45" s="805"/>
      <c r="K45" s="805"/>
      <c r="L45" s="805"/>
      <c r="M45" s="2041"/>
      <c r="O45" s="1927"/>
      <c r="P45" s="1935"/>
      <c r="Q45" s="881"/>
      <c r="S45" s="873"/>
      <c r="T45" s="873"/>
      <c r="U45" s="874"/>
      <c r="V45" s="873"/>
      <c r="W45" s="873"/>
      <c r="X45" s="873"/>
      <c r="Y45" s="873"/>
      <c r="Z45" s="926"/>
      <c r="AA45" s="873"/>
      <c r="AB45" s="873"/>
      <c r="AD45" s="420" t="s">
        <v>1073</v>
      </c>
      <c r="AE45" s="421" t="s">
        <v>1221</v>
      </c>
      <c r="AF45" s="364" t="str">
        <f t="shared" si="4"/>
        <v>Anzahl IMC-Betten im Spital</v>
      </c>
      <c r="AG45" s="420" t="s">
        <v>1280</v>
      </c>
      <c r="AH45" s="421" t="s">
        <v>1282</v>
      </c>
      <c r="AI45" s="2051" t="str">
        <f t="shared" si="10"/>
        <v>Bitte Zahl eingeben. Falls keine IMC im Spital, bitte 0 eingeben.</v>
      </c>
      <c r="AK45" s="2041"/>
    </row>
    <row r="46" spans="1:37" s="799" customFormat="1" ht="23" customHeight="1">
      <c r="A46" s="795" t="str">
        <f t="shared" si="12"/>
        <v>Anzahl Aufwachraum-Betten im Spital</v>
      </c>
      <c r="B46" s="853"/>
      <c r="C46" s="847"/>
      <c r="D46" s="847"/>
      <c r="E46" s="798" t="str">
        <f t="shared" si="13"/>
        <v>Bitte Zahl eingeben. Falls kein Aufwachraum, bitte 0 eingeben.</v>
      </c>
      <c r="F46" s="976"/>
      <c r="G46" s="977"/>
      <c r="H46" s="805"/>
      <c r="I46" s="1841"/>
      <c r="J46" s="805"/>
      <c r="K46" s="805"/>
      <c r="L46" s="805"/>
      <c r="M46" s="2045"/>
      <c r="O46" s="1927"/>
      <c r="P46" s="1935"/>
      <c r="Q46" s="881"/>
      <c r="S46" s="873"/>
      <c r="T46" s="873"/>
      <c r="U46" s="874"/>
      <c r="V46" s="873"/>
      <c r="W46" s="873"/>
      <c r="X46" s="873"/>
      <c r="Y46" s="873"/>
      <c r="Z46" s="926"/>
      <c r="AA46" s="873"/>
      <c r="AB46" s="873"/>
      <c r="AD46" s="420" t="s">
        <v>1074</v>
      </c>
      <c r="AE46" s="421" t="s">
        <v>1222</v>
      </c>
      <c r="AF46" s="364" t="str">
        <f t="shared" si="4"/>
        <v>Anzahl Aufwachraum-Betten im Spital</v>
      </c>
      <c r="AG46" s="420" t="s">
        <v>1281</v>
      </c>
      <c r="AH46" s="421" t="s">
        <v>1283</v>
      </c>
      <c r="AI46" s="2051" t="str">
        <f t="shared" si="10"/>
        <v>Bitte Zahl eingeben. Falls kein Aufwachraum, bitte 0 eingeben.</v>
      </c>
      <c r="AK46" s="2045"/>
    </row>
    <row r="47" spans="1:37" s="799" customFormat="1" ht="23" customHeight="1">
      <c r="A47" s="795" t="str">
        <f t="shared" si="12"/>
        <v>Anzahl andere IS-Betten im Spital</v>
      </c>
      <c r="B47" s="853"/>
      <c r="C47" s="847"/>
      <c r="D47" s="847"/>
      <c r="E47" s="798" t="str">
        <f t="shared" si="13"/>
        <v>Bitte Zahl eingeben. Falls keine andere IS bitte 0 eingeben.</v>
      </c>
      <c r="F47" s="976"/>
      <c r="G47" s="977"/>
      <c r="H47" s="805"/>
      <c r="I47" s="1841"/>
      <c r="J47" s="805"/>
      <c r="K47" s="805"/>
      <c r="L47" s="805"/>
      <c r="M47" s="2045"/>
      <c r="O47" s="1927"/>
      <c r="P47" s="1935"/>
      <c r="Q47" s="881"/>
      <c r="S47" s="873"/>
      <c r="T47" s="873"/>
      <c r="U47" s="874"/>
      <c r="V47" s="873"/>
      <c r="W47" s="873"/>
      <c r="X47" s="873"/>
      <c r="Y47" s="873"/>
      <c r="Z47" s="926"/>
      <c r="AA47" s="873"/>
      <c r="AB47" s="873"/>
      <c r="AD47" s="420" t="s">
        <v>2093</v>
      </c>
      <c r="AE47" s="421" t="s">
        <v>1223</v>
      </c>
      <c r="AF47" s="364" t="str">
        <f t="shared" si="4"/>
        <v>Anzahl andere IS-Betten im Spital</v>
      </c>
      <c r="AG47" s="420" t="s">
        <v>2094</v>
      </c>
      <c r="AH47" s="421" t="s">
        <v>1284</v>
      </c>
      <c r="AI47" s="2051" t="str">
        <f t="shared" si="10"/>
        <v>Bitte Zahl eingeben. Falls keine andere IS bitte 0 eingeben.</v>
      </c>
      <c r="AK47" s="2045"/>
    </row>
    <row r="48" spans="1:37" s="799" customFormat="1" ht="42" customHeight="1">
      <c r="A48" s="795" t="str">
        <f t="shared" si="12"/>
        <v>Andere Intensivstationen im Spital</v>
      </c>
      <c r="B48" s="2370"/>
      <c r="C48" s="2370"/>
      <c r="D48" s="2370"/>
      <c r="E48" s="798" t="str">
        <f t="shared" si="13"/>
        <v>Bitte jede andere Station mit Bezeichung aufführen. Freier Text.</v>
      </c>
      <c r="F48" s="976"/>
      <c r="G48" s="977"/>
      <c r="H48" s="805"/>
      <c r="I48" s="1841"/>
      <c r="J48" s="805"/>
      <c r="K48" s="805"/>
      <c r="L48" s="805"/>
      <c r="M48" s="2041"/>
      <c r="O48" s="1927"/>
      <c r="P48" s="1935"/>
      <c r="Q48" s="881"/>
      <c r="S48" s="873"/>
      <c r="T48" s="873"/>
      <c r="U48" s="874"/>
      <c r="V48" s="873"/>
      <c r="W48" s="873"/>
      <c r="X48" s="873"/>
      <c r="Y48" s="873"/>
      <c r="Z48" s="926"/>
      <c r="AA48" s="873"/>
      <c r="AB48" s="873"/>
      <c r="AD48" s="420" t="s">
        <v>1067</v>
      </c>
      <c r="AE48" s="421" t="s">
        <v>1219</v>
      </c>
      <c r="AF48" s="364" t="str">
        <f t="shared" si="4"/>
        <v>Andere Intensivstationen im Spital</v>
      </c>
      <c r="AG48" s="420" t="s">
        <v>1068</v>
      </c>
      <c r="AH48" s="421" t="s">
        <v>1286</v>
      </c>
      <c r="AI48" s="2051" t="str">
        <f t="shared" si="10"/>
        <v>Bitte jede andere Station mit Bezeichung aufführen. Freier Text.</v>
      </c>
      <c r="AK48" s="2041"/>
    </row>
    <row r="49" spans="1:37" s="799" customFormat="1" ht="42" customHeight="1">
      <c r="A49" s="795" t="str">
        <f t="shared" si="12"/>
        <v>Benachbarte Intensivstationen in anderen Spitälern</v>
      </c>
      <c r="B49" s="2370"/>
      <c r="C49" s="2370"/>
      <c r="D49" s="2370"/>
      <c r="E49" s="798" t="str">
        <f t="shared" si="13"/>
        <v>Bitte Spitäler aufführen. Freier Text.</v>
      </c>
      <c r="F49" s="976"/>
      <c r="G49" s="977"/>
      <c r="H49" s="805"/>
      <c r="I49" s="1841"/>
      <c r="J49" s="805"/>
      <c r="K49" s="805"/>
      <c r="L49" s="805"/>
      <c r="M49" s="2041"/>
      <c r="O49" s="1927"/>
      <c r="P49" s="1935"/>
      <c r="Q49" s="881"/>
      <c r="S49" s="873"/>
      <c r="T49" s="873"/>
      <c r="U49" s="874"/>
      <c r="V49" s="873"/>
      <c r="W49" s="873"/>
      <c r="X49" s="873"/>
      <c r="Y49" s="873"/>
      <c r="Z49" s="926"/>
      <c r="AA49" s="873"/>
      <c r="AB49" s="873"/>
      <c r="AD49" s="420" t="s">
        <v>1076</v>
      </c>
      <c r="AE49" s="421" t="s">
        <v>1224</v>
      </c>
      <c r="AF49" s="364" t="str">
        <f t="shared" si="4"/>
        <v>Benachbarte Intensivstationen in anderen Spitälern</v>
      </c>
      <c r="AG49" s="420" t="s">
        <v>1075</v>
      </c>
      <c r="AH49" s="421" t="s">
        <v>1285</v>
      </c>
      <c r="AI49" s="2051" t="str">
        <f t="shared" si="10"/>
        <v>Bitte Spitäler aufführen. Freier Text.</v>
      </c>
      <c r="AK49" s="2041"/>
    </row>
    <row r="50" spans="1:37">
      <c r="W50" s="872" t="s">
        <v>1131</v>
      </c>
      <c r="AD50" s="400" t="s">
        <v>1226</v>
      </c>
      <c r="AE50" s="401" t="s">
        <v>1225</v>
      </c>
      <c r="AF50" s="362" t="str">
        <f t="shared" si="4"/>
        <v>Fläche pro Bett (m2)</v>
      </c>
      <c r="AG50" s="400" t="s">
        <v>1103</v>
      </c>
      <c r="AH50" s="401" t="s">
        <v>1276</v>
      </c>
      <c r="AI50" s="2049" t="str">
        <f t="shared" si="10"/>
        <v>Fläche pro Zimmer (m2)</v>
      </c>
    </row>
    <row r="51" spans="1:37" ht="36" customHeight="1">
      <c r="A51" s="2354" t="str">
        <f t="shared" ref="A51" si="14">AF51</f>
        <v>Aktivität der Station</v>
      </c>
      <c r="B51" s="2354"/>
      <c r="S51" s="929" t="s">
        <v>1127</v>
      </c>
      <c r="T51" s="930"/>
      <c r="U51" s="931"/>
      <c r="V51" s="932"/>
      <c r="W51" s="929" t="s">
        <v>1124</v>
      </c>
      <c r="X51" s="933" t="s">
        <v>1125</v>
      </c>
      <c r="Y51" s="934"/>
      <c r="Z51" s="935" t="s">
        <v>1128</v>
      </c>
      <c r="AA51" s="936"/>
      <c r="AB51" s="937"/>
      <c r="AD51" s="221" t="s">
        <v>1116</v>
      </c>
      <c r="AE51" s="347" t="s">
        <v>1227</v>
      </c>
      <c r="AF51" s="362" t="str">
        <f t="shared" si="4"/>
        <v>Aktivität der Station</v>
      </c>
      <c r="AI51" s="2049" t="str">
        <f t="shared" si="10"/>
        <v/>
      </c>
    </row>
    <row r="52" spans="1:37" ht="18.75" customHeight="1">
      <c r="A52"/>
      <c r="B52" s="801">
        <f>YEAR(B10)-1</f>
        <v>1899</v>
      </c>
      <c r="C52" s="633">
        <f>B52-1</f>
        <v>1898</v>
      </c>
      <c r="D52" s="633"/>
      <c r="E52" s="163" t="str">
        <f>AF52</f>
        <v>Die Jahre sind die 2 letzten Kalenderjahre (benötigt Antragsdatum oben)</v>
      </c>
      <c r="F52" s="978"/>
      <c r="G52" s="979"/>
      <c r="S52" s="905">
        <f>B52</f>
        <v>1899</v>
      </c>
      <c r="T52" s="895">
        <f>C52</f>
        <v>1898</v>
      </c>
      <c r="V52" s="906"/>
      <c r="W52" s="894"/>
      <c r="X52" s="895">
        <f>B52</f>
        <v>1899</v>
      </c>
      <c r="Y52" s="896">
        <f>C52</f>
        <v>1898</v>
      </c>
      <c r="Z52" s="938"/>
      <c r="AA52" s="895">
        <f>B52</f>
        <v>1899</v>
      </c>
      <c r="AB52" s="896">
        <f>C52</f>
        <v>1898</v>
      </c>
      <c r="AD52" s="221" t="s">
        <v>1199</v>
      </c>
      <c r="AE52" s="347" t="s">
        <v>1228</v>
      </c>
      <c r="AF52" s="362" t="str">
        <f t="shared" si="4"/>
        <v>Die Jahre sind die 2 letzten Kalenderjahre (benötigt Antragsdatum oben)</v>
      </c>
    </row>
    <row r="53" spans="1:37" s="799" customFormat="1" ht="17">
      <c r="A53" s="805" t="str">
        <f>AF53</f>
        <v>Eintritte pro Jahr</v>
      </c>
      <c r="B53" s="854"/>
      <c r="C53" s="855"/>
      <c r="D53" s="847"/>
      <c r="E53" s="798"/>
      <c r="F53" s="976"/>
      <c r="G53" s="977"/>
      <c r="H53" s="805"/>
      <c r="I53" s="1841" t="s">
        <v>788</v>
      </c>
      <c r="J53" s="805"/>
      <c r="K53" s="805"/>
      <c r="L53" s="805"/>
      <c r="M53" s="2041"/>
      <c r="O53" s="1927"/>
      <c r="P53" s="1935"/>
      <c r="Q53" s="881"/>
      <c r="S53" s="907"/>
      <c r="T53" s="873"/>
      <c r="U53" s="874"/>
      <c r="V53" s="906"/>
      <c r="W53" s="894"/>
      <c r="X53" s="897"/>
      <c r="Y53" s="898"/>
      <c r="Z53" s="938"/>
      <c r="AA53" s="872"/>
      <c r="AB53" s="906"/>
      <c r="AD53" s="848" t="s">
        <v>1117</v>
      </c>
      <c r="AE53" s="849" t="s">
        <v>1118</v>
      </c>
      <c r="AF53" s="364" t="str">
        <f t="shared" si="4"/>
        <v>Eintritte pro Jahr</v>
      </c>
      <c r="AG53" s="221"/>
      <c r="AH53" s="347"/>
      <c r="AI53" s="2052"/>
      <c r="AK53" s="2041"/>
    </row>
    <row r="54" spans="1:37" s="799" customFormat="1" ht="24" customHeight="1">
      <c r="A54" s="797" t="str">
        <f>AF54</f>
        <v>Anzahl Schichten pro Jahr laut MDSi</v>
      </c>
      <c r="B54" s="805"/>
      <c r="C54" s="805"/>
      <c r="D54" s="847"/>
      <c r="E54" s="798"/>
      <c r="F54" s="2351" t="s">
        <v>1133</v>
      </c>
      <c r="G54" s="2351"/>
      <c r="H54" s="805"/>
      <c r="I54" s="1841"/>
      <c r="J54" s="805"/>
      <c r="K54" s="805"/>
      <c r="L54" s="805"/>
      <c r="M54" s="2041"/>
      <c r="O54" s="1927"/>
      <c r="P54" s="1935"/>
      <c r="Q54" s="881"/>
      <c r="S54" s="907"/>
      <c r="T54" s="873"/>
      <c r="U54" s="897" t="s">
        <v>1123</v>
      </c>
      <c r="V54" s="901" t="s">
        <v>1132</v>
      </c>
      <c r="W54" s="899"/>
      <c r="X54" s="900"/>
      <c r="Y54" s="901"/>
      <c r="Z54" s="939"/>
      <c r="AA54" s="900"/>
      <c r="AB54" s="901"/>
      <c r="AD54" s="400" t="s">
        <v>1177</v>
      </c>
      <c r="AE54" s="401" t="s">
        <v>1178</v>
      </c>
      <c r="AF54" s="362" t="str">
        <f t="shared" si="4"/>
        <v>Anzahl Schichten pro Jahr laut MDSi</v>
      </c>
      <c r="AG54" s="400"/>
      <c r="AH54" s="401"/>
      <c r="AI54" s="2049" t="str">
        <f t="shared" ref="AI54:AI75" si="15">IF(AG54=0,"",IF($A$1="D",AG54,AH54))</f>
        <v/>
      </c>
      <c r="AK54" s="2041"/>
    </row>
    <row r="55" spans="1:37" s="799" customFormat="1" ht="23" customHeight="1">
      <c r="A55" s="805" t="str">
        <f>AF55</f>
        <v>Kategorie 1 A</v>
      </c>
      <c r="B55" s="854"/>
      <c r="C55" s="855"/>
      <c r="D55" s="856"/>
      <c r="E55" s="2350" t="str">
        <f>AI55</f>
        <v>Anzahl Schichten pro Jahr (letzte 2 Kalenderjahre)</v>
      </c>
      <c r="F55" s="2349" t="e">
        <f>V55</f>
        <v>#DIV/0!</v>
      </c>
      <c r="G55" s="2349" t="s">
        <v>1138</v>
      </c>
      <c r="H55" s="805"/>
      <c r="I55" s="1841" t="s">
        <v>788</v>
      </c>
      <c r="J55" s="805"/>
      <c r="K55" s="805"/>
      <c r="L55" s="805"/>
      <c r="M55" s="2041"/>
      <c r="O55" s="1927"/>
      <c r="P55" s="1935"/>
      <c r="Q55" s="881"/>
      <c r="S55" s="916" t="e">
        <f t="shared" ref="S55:T58" si="16">B55/B$59</f>
        <v>#DIV/0!</v>
      </c>
      <c r="T55" s="917" t="e">
        <f t="shared" si="16"/>
        <v>#DIV/0!</v>
      </c>
      <c r="U55" s="2345">
        <v>0.15</v>
      </c>
      <c r="V55" s="2347" t="e">
        <f>(S55+S56)</f>
        <v>#DIV/0!</v>
      </c>
      <c r="W55" s="902">
        <v>1.33</v>
      </c>
      <c r="X55" s="903" t="e">
        <f t="shared" ref="X55:Y58" si="17">B55/3*$W55*$B$132/$B$127</f>
        <v>#DIV/0!</v>
      </c>
      <c r="Y55" s="904" t="e">
        <f t="shared" si="17"/>
        <v>#DIV/0!</v>
      </c>
      <c r="Z55" s="940" t="s">
        <v>1129</v>
      </c>
      <c r="AA55" s="941" t="e">
        <f>X59/3</f>
        <v>#DIV/0!</v>
      </c>
      <c r="AB55" s="942" t="e">
        <f>Y59/3</f>
        <v>#DIV/0!</v>
      </c>
      <c r="AD55" s="848" t="s">
        <v>1050</v>
      </c>
      <c r="AE55" s="849" t="s">
        <v>906</v>
      </c>
      <c r="AF55" s="364" t="str">
        <f t="shared" ref="AF55:AF74" si="18">IF(AD55=0,"",IF($A$1="D",AD55,AE55))</f>
        <v>Kategorie 1 A</v>
      </c>
      <c r="AG55" s="848" t="s">
        <v>1113</v>
      </c>
      <c r="AH55" s="849" t="s">
        <v>1114</v>
      </c>
      <c r="AI55" s="2049" t="str">
        <f t="shared" si="15"/>
        <v>Anzahl Schichten pro Jahr (letzte 2 Kalenderjahre)</v>
      </c>
      <c r="AK55" s="2041"/>
    </row>
    <row r="56" spans="1:37" s="799" customFormat="1" ht="23" customHeight="1">
      <c r="A56" s="805" t="str">
        <f t="shared" ref="A56:A60" si="19">AF56</f>
        <v>Kategorie 1 B</v>
      </c>
      <c r="B56" s="854"/>
      <c r="C56" s="855"/>
      <c r="D56" s="856"/>
      <c r="E56" s="2350"/>
      <c r="F56" s="2349"/>
      <c r="G56" s="2349"/>
      <c r="H56" s="805"/>
      <c r="I56" s="1841" t="s">
        <v>788</v>
      </c>
      <c r="J56" s="805"/>
      <c r="K56" s="805"/>
      <c r="L56" s="805"/>
      <c r="M56" s="2041"/>
      <c r="O56" s="1927"/>
      <c r="P56" s="1935"/>
      <c r="Q56" s="881"/>
      <c r="S56" s="912" t="e">
        <f t="shared" si="16"/>
        <v>#DIV/0!</v>
      </c>
      <c r="T56" s="913" t="e">
        <f t="shared" si="16"/>
        <v>#DIV/0!</v>
      </c>
      <c r="U56" s="2346"/>
      <c r="V56" s="2348"/>
      <c r="W56" s="902">
        <v>1</v>
      </c>
      <c r="X56" s="903" t="e">
        <f t="shared" si="17"/>
        <v>#DIV/0!</v>
      </c>
      <c r="Y56" s="904" t="e">
        <f t="shared" si="17"/>
        <v>#DIV/0!</v>
      </c>
      <c r="Z56" s="951" t="s">
        <v>1140</v>
      </c>
      <c r="AA56" s="953" t="e">
        <f>IF(AA55&lt;6,6,AA55)</f>
        <v>#DIV/0!</v>
      </c>
      <c r="AB56" s="952" t="e">
        <f>IF(AB55&lt;6,6,AB55)</f>
        <v>#DIV/0!</v>
      </c>
      <c r="AD56" s="848" t="s">
        <v>1051</v>
      </c>
      <c r="AE56" s="849" t="s">
        <v>907</v>
      </c>
      <c r="AF56" s="364" t="str">
        <f t="shared" si="18"/>
        <v>Kategorie 1 B</v>
      </c>
      <c r="AG56" s="848"/>
      <c r="AH56" s="849"/>
      <c r="AI56" s="2049" t="str">
        <f t="shared" si="15"/>
        <v/>
      </c>
      <c r="AK56" s="2041"/>
    </row>
    <row r="57" spans="1:37" s="799" customFormat="1" ht="23" customHeight="1">
      <c r="A57" s="805" t="str">
        <f t="shared" si="19"/>
        <v>Kategorie 2</v>
      </c>
      <c r="B57" s="854"/>
      <c r="C57" s="855"/>
      <c r="D57" s="856"/>
      <c r="E57" s="2350"/>
      <c r="F57" s="2351" t="s">
        <v>1134</v>
      </c>
      <c r="G57" s="2351"/>
      <c r="H57" s="805"/>
      <c r="I57" s="1841" t="s">
        <v>788</v>
      </c>
      <c r="J57" s="805"/>
      <c r="K57" s="805"/>
      <c r="L57" s="805"/>
      <c r="M57" s="2041"/>
      <c r="O57" s="1927"/>
      <c r="P57" s="1935"/>
      <c r="Q57" s="881"/>
      <c r="S57" s="908" t="e">
        <f t="shared" si="16"/>
        <v>#DIV/0!</v>
      </c>
      <c r="T57" s="909" t="e">
        <f t="shared" si="16"/>
        <v>#DIV/0!</v>
      </c>
      <c r="U57" s="910"/>
      <c r="V57" s="911"/>
      <c r="W57" s="902">
        <v>0.67</v>
      </c>
      <c r="X57" s="903" t="e">
        <f t="shared" si="17"/>
        <v>#DIV/0!</v>
      </c>
      <c r="Y57" s="904" t="e">
        <f t="shared" si="17"/>
        <v>#DIV/0!</v>
      </c>
      <c r="Z57" s="940" t="s">
        <v>1130</v>
      </c>
      <c r="AA57" s="941" t="e">
        <f>X61*0.05</f>
        <v>#DIV/0!</v>
      </c>
      <c r="AB57" s="942" t="e">
        <f>Y61*0.05</f>
        <v>#DIV/0!</v>
      </c>
      <c r="AD57" s="848" t="s">
        <v>1052</v>
      </c>
      <c r="AE57" s="849" t="s">
        <v>908</v>
      </c>
      <c r="AF57" s="364" t="str">
        <f t="shared" si="18"/>
        <v>Kategorie 2</v>
      </c>
      <c r="AG57" s="420"/>
      <c r="AH57" s="421"/>
      <c r="AI57" s="2049" t="str">
        <f t="shared" si="15"/>
        <v/>
      </c>
      <c r="AK57" s="2041"/>
    </row>
    <row r="58" spans="1:37" s="799" customFormat="1" ht="23" customHeight="1">
      <c r="A58" s="805" t="str">
        <f t="shared" si="19"/>
        <v>Kategorie 3</v>
      </c>
      <c r="B58" s="854"/>
      <c r="C58" s="855"/>
      <c r="D58" s="856"/>
      <c r="E58" s="2350"/>
      <c r="F58" s="1202" t="e">
        <f>V58</f>
        <v>#DIV/0!</v>
      </c>
      <c r="G58" s="1202" t="s">
        <v>1139</v>
      </c>
      <c r="H58" s="805"/>
      <c r="I58" s="1841" t="s">
        <v>788</v>
      </c>
      <c r="J58" s="805"/>
      <c r="K58" s="805"/>
      <c r="L58" s="805"/>
      <c r="M58" s="2041"/>
      <c r="O58" s="1927"/>
      <c r="P58" s="1935"/>
      <c r="Q58" s="881"/>
      <c r="S58" s="918" t="e">
        <f t="shared" si="16"/>
        <v>#DIV/0!</v>
      </c>
      <c r="T58" s="919" t="e">
        <f t="shared" si="16"/>
        <v>#DIV/0!</v>
      </c>
      <c r="U58" s="920">
        <v>0.3</v>
      </c>
      <c r="V58" s="921" t="e">
        <f>S58</f>
        <v>#DIV/0!</v>
      </c>
      <c r="W58" s="1183">
        <v>0.33</v>
      </c>
      <c r="X58" s="903" t="e">
        <f t="shared" si="17"/>
        <v>#DIV/0!</v>
      </c>
      <c r="Y58" s="904" t="e">
        <f t="shared" si="17"/>
        <v>#DIV/0!</v>
      </c>
      <c r="Z58" s="1184"/>
      <c r="AA58" s="1185"/>
      <c r="AB58" s="1186"/>
      <c r="AD58" s="848" t="s">
        <v>1053</v>
      </c>
      <c r="AE58" s="849" t="s">
        <v>909</v>
      </c>
      <c r="AF58" s="364" t="str">
        <f t="shared" si="18"/>
        <v>Kategorie 3</v>
      </c>
      <c r="AG58" s="848"/>
      <c r="AH58" s="849"/>
      <c r="AI58" s="2049" t="str">
        <f t="shared" si="15"/>
        <v/>
      </c>
      <c r="AK58" s="2041"/>
    </row>
    <row r="59" spans="1:37" s="799" customFormat="1" ht="23" customHeight="1">
      <c r="A59" s="805" t="str">
        <f t="shared" si="19"/>
        <v>Total Schichten pro Jahr</v>
      </c>
      <c r="B59" s="857">
        <f>SUM(B55:B58)</f>
        <v>0</v>
      </c>
      <c r="C59" s="858">
        <f>SUM(C55:C58)</f>
        <v>0</v>
      </c>
      <c r="D59" s="858"/>
      <c r="E59" s="805"/>
      <c r="F59" s="978"/>
      <c r="G59" s="979"/>
      <c r="H59" s="805"/>
      <c r="I59" s="1841"/>
      <c r="J59" s="805"/>
      <c r="K59" s="805"/>
      <c r="L59" s="805"/>
      <c r="M59" s="2041"/>
      <c r="O59" s="1927"/>
      <c r="P59" s="1935"/>
      <c r="Q59" s="881"/>
      <c r="S59" s="922" t="e">
        <f t="shared" ref="S59:T59" si="20">SUM(S55:S58)</f>
        <v>#DIV/0!</v>
      </c>
      <c r="T59" s="923" t="e">
        <f t="shared" si="20"/>
        <v>#DIV/0!</v>
      </c>
      <c r="U59" s="914"/>
      <c r="V59" s="914"/>
      <c r="W59" s="961" t="s">
        <v>1141</v>
      </c>
      <c r="X59" s="959" t="e">
        <f>SUM(X55:X58)</f>
        <v>#DIV/0!</v>
      </c>
      <c r="Y59" s="960" t="e">
        <f>SUM(Y55:Y58)</f>
        <v>#DIV/0!</v>
      </c>
      <c r="Z59" s="958"/>
      <c r="AA59" s="943"/>
      <c r="AB59" s="944"/>
      <c r="AD59" s="420" t="s">
        <v>1119</v>
      </c>
      <c r="AE59" s="421" t="s">
        <v>1120</v>
      </c>
      <c r="AF59" s="364" t="str">
        <f t="shared" si="18"/>
        <v>Total Schichten pro Jahr</v>
      </c>
      <c r="AG59" s="848"/>
      <c r="AH59" s="849"/>
      <c r="AI59" s="2049" t="str">
        <f t="shared" si="15"/>
        <v/>
      </c>
      <c r="AK59" s="2041"/>
    </row>
    <row r="60" spans="1:37" s="799" customFormat="1" ht="23" customHeight="1">
      <c r="A60" s="805" t="str">
        <f t="shared" si="19"/>
        <v>Pflegetage gemäss MDSi</v>
      </c>
      <c r="B60" s="857">
        <f>B59/3</f>
        <v>0</v>
      </c>
      <c r="C60" s="857">
        <f>C59/3</f>
        <v>0</v>
      </c>
      <c r="D60" s="858"/>
      <c r="E60" s="805" t="str">
        <f>AI60</f>
        <v>Total Schichten dividert durch 3</v>
      </c>
      <c r="F60" s="1321">
        <f>B60</f>
        <v>0</v>
      </c>
      <c r="G60" s="1212" t="s">
        <v>1613</v>
      </c>
      <c r="H60" s="805"/>
      <c r="I60" s="1841"/>
      <c r="J60" s="805"/>
      <c r="K60" s="805"/>
      <c r="L60" s="805"/>
      <c r="M60" s="2041"/>
      <c r="O60" s="1927"/>
      <c r="P60" s="1935"/>
      <c r="Q60" s="881"/>
      <c r="S60" s="922"/>
      <c r="T60" s="923"/>
      <c r="U60" s="914"/>
      <c r="V60" s="914"/>
      <c r="W60" s="1318"/>
      <c r="X60" s="1319"/>
      <c r="Y60" s="1320"/>
      <c r="Z60" s="958"/>
      <c r="AA60" s="943"/>
      <c r="AB60" s="944"/>
      <c r="AD60" s="420" t="s">
        <v>1612</v>
      </c>
      <c r="AE60" s="421" t="s">
        <v>1614</v>
      </c>
      <c r="AF60" s="364" t="str">
        <f t="shared" si="18"/>
        <v>Pflegetage gemäss MDSi</v>
      </c>
      <c r="AG60" s="848" t="s">
        <v>1611</v>
      </c>
      <c r="AH60" s="421" t="s">
        <v>1615</v>
      </c>
      <c r="AI60" s="2049" t="str">
        <f t="shared" si="15"/>
        <v>Total Schichten dividert durch 3</v>
      </c>
      <c r="AK60" s="2041"/>
    </row>
    <row r="61" spans="1:37" s="799" customFormat="1" ht="23" customHeight="1">
      <c r="A61" s="805" t="str">
        <f>AF61</f>
        <v>Belegung nach Schichten</v>
      </c>
      <c r="B61" s="886" t="e">
        <f>B59/(365*3*IF($B$31=0,$B$22,$B$31))</f>
        <v>#DIV/0!</v>
      </c>
      <c r="C61" s="1029" t="e">
        <f>C59/(365*3*IF($B$31=0,$B$22,$B$31))</f>
        <v>#DIV/0!</v>
      </c>
      <c r="D61" s="858"/>
      <c r="E61" s="805" t="str">
        <f>AI61</f>
        <v>Total Schichten / (3 Schichten x n Bettenzahl x 365 Tage)</v>
      </c>
      <c r="F61" s="978"/>
      <c r="G61" s="979"/>
      <c r="H61" s="805"/>
      <c r="I61" s="1841"/>
      <c r="J61" s="805"/>
      <c r="K61" s="805"/>
      <c r="L61" s="805"/>
      <c r="M61" s="2041"/>
      <c r="O61" s="1927"/>
      <c r="P61" s="1935"/>
      <c r="Q61" s="881"/>
      <c r="S61" s="918"/>
      <c r="T61" s="919"/>
      <c r="U61" s="954"/>
      <c r="V61" s="955"/>
      <c r="W61" s="962" t="s">
        <v>1142</v>
      </c>
      <c r="X61" s="964" t="e">
        <f>X59*0.8</f>
        <v>#DIV/0!</v>
      </c>
      <c r="Y61" s="963" t="e">
        <f>Y59*0.8</f>
        <v>#DIV/0!</v>
      </c>
      <c r="Z61" s="956"/>
      <c r="AA61" s="955"/>
      <c r="AB61" s="957"/>
      <c r="AD61" s="420" t="s">
        <v>1121</v>
      </c>
      <c r="AE61" s="421" t="s">
        <v>1229</v>
      </c>
      <c r="AF61" s="364" t="str">
        <f t="shared" si="18"/>
        <v>Belegung nach Schichten</v>
      </c>
      <c r="AG61" s="420" t="s">
        <v>1122</v>
      </c>
      <c r="AH61" s="421" t="s">
        <v>1616</v>
      </c>
      <c r="AI61" s="2049" t="str">
        <f t="shared" si="15"/>
        <v>Total Schichten / (3 Schichten x n Bettenzahl x 365 Tage)</v>
      </c>
      <c r="AK61" s="2041"/>
    </row>
    <row r="62" spans="1:37">
      <c r="AD62" s="400"/>
      <c r="AE62" s="401"/>
      <c r="AF62" s="362" t="str">
        <f t="shared" si="18"/>
        <v/>
      </c>
      <c r="AG62" s="400"/>
      <c r="AH62" s="401"/>
      <c r="AI62" s="2049" t="str">
        <f t="shared" si="15"/>
        <v/>
      </c>
    </row>
    <row r="63" spans="1:37" ht="36" customHeight="1">
      <c r="A63" s="2354" t="str">
        <f>AF63</f>
        <v>Architektonik</v>
      </c>
      <c r="B63" s="2354"/>
      <c r="F63" s="1197"/>
      <c r="G63" s="1198"/>
      <c r="AD63" s="221" t="s">
        <v>1179</v>
      </c>
      <c r="AE63" s="347" t="s">
        <v>1230</v>
      </c>
      <c r="AF63" s="362" t="str">
        <f t="shared" si="18"/>
        <v>Architektonik</v>
      </c>
      <c r="AG63" s="221" t="s">
        <v>1182</v>
      </c>
      <c r="AH63" s="347" t="s">
        <v>1287</v>
      </c>
      <c r="AI63" s="2049" t="str">
        <f t="shared" si="15"/>
        <v>Anzahl Betten pro Zimmer</v>
      </c>
    </row>
    <row r="64" spans="1:37" s="799" customFormat="1" ht="30">
      <c r="A64" s="880" t="str">
        <f>AF64</f>
        <v>Zimmer</v>
      </c>
      <c r="B64" s="865" t="str">
        <f>AI63</f>
        <v>Anzahl Betten pro Zimmer</v>
      </c>
      <c r="C64" s="865" t="str">
        <f>AI64</f>
        <v>Anzahl Zimmer</v>
      </c>
      <c r="D64" s="866" t="str">
        <f>AI50</f>
        <v>Fläche pro Zimmer (m2)</v>
      </c>
      <c r="E64" s="798"/>
      <c r="F64" s="2361" t="str">
        <f>AF50</f>
        <v>Fläche pro Bett (m2)</v>
      </c>
      <c r="G64" s="2361"/>
      <c r="H64" s="805"/>
      <c r="I64" s="1841"/>
      <c r="J64" s="805"/>
      <c r="K64" s="805"/>
      <c r="L64" s="805"/>
      <c r="M64" s="2041"/>
      <c r="O64" s="1927"/>
      <c r="P64" s="1935"/>
      <c r="Q64" s="881"/>
      <c r="S64" s="873"/>
      <c r="T64" s="873"/>
      <c r="U64" s="874"/>
      <c r="V64" s="873"/>
      <c r="W64" s="873"/>
      <c r="X64" s="873"/>
      <c r="Y64" s="873"/>
      <c r="Z64" s="926"/>
      <c r="AA64" s="873"/>
      <c r="AB64" s="873"/>
      <c r="AD64" s="848" t="s">
        <v>1104</v>
      </c>
      <c r="AE64" s="849" t="s">
        <v>1231</v>
      </c>
      <c r="AF64" s="364" t="str">
        <f t="shared" si="18"/>
        <v>Zimmer</v>
      </c>
      <c r="AG64" s="848" t="s">
        <v>1097</v>
      </c>
      <c r="AH64" s="849" t="s">
        <v>1288</v>
      </c>
      <c r="AI64" s="2049" t="str">
        <f t="shared" si="15"/>
        <v>Anzahl Zimmer</v>
      </c>
      <c r="AK64" s="2041"/>
    </row>
    <row r="65" spans="1:37" s="799" customFormat="1" ht="17">
      <c r="A65" s="881" t="str">
        <f>AF65</f>
        <v>Einzel-Zimmer, Isolation (mit Schleuse)</v>
      </c>
      <c r="B65" s="845">
        <v>1</v>
      </c>
      <c r="C65" s="853"/>
      <c r="D65" s="863"/>
      <c r="E65" s="798" t="str">
        <f>AI65</f>
        <v>Hauptnutzfläche ausschliesslich der Schleuse</v>
      </c>
      <c r="F65" s="1203" t="str">
        <f>IF(C65=0,"/",D65/B65)</f>
        <v>/</v>
      </c>
      <c r="G65" s="1204" t="s">
        <v>1137</v>
      </c>
      <c r="H65" s="805"/>
      <c r="I65" s="1841"/>
      <c r="J65" s="805"/>
      <c r="K65" s="805"/>
      <c r="L65" s="805"/>
      <c r="M65" s="2041"/>
      <c r="O65" s="1927"/>
      <c r="P65" s="1935"/>
      <c r="Q65" s="881"/>
      <c r="S65" s="873"/>
      <c r="T65" s="873"/>
      <c r="U65" s="874"/>
      <c r="V65" s="873"/>
      <c r="W65" s="873"/>
      <c r="X65" s="873"/>
      <c r="Y65" s="873"/>
      <c r="Z65" s="926"/>
      <c r="AA65" s="873"/>
      <c r="AB65" s="873"/>
      <c r="AD65" s="848" t="s">
        <v>1105</v>
      </c>
      <c r="AE65" s="849" t="s">
        <v>1232</v>
      </c>
      <c r="AF65" s="364" t="str">
        <f t="shared" si="18"/>
        <v>Einzel-Zimmer, Isolation (mit Schleuse)</v>
      </c>
      <c r="AG65" s="848" t="s">
        <v>1956</v>
      </c>
      <c r="AH65" s="849" t="s">
        <v>1957</v>
      </c>
      <c r="AI65" s="2049" t="str">
        <f t="shared" si="15"/>
        <v>Hauptnutzfläche ausschliesslich der Schleuse</v>
      </c>
      <c r="AK65" s="2041"/>
    </row>
    <row r="66" spans="1:37" s="799" customFormat="1" ht="31.5" customHeight="1">
      <c r="A66" s="881" t="str">
        <f t="shared" ref="A66:A69" si="21">AF66</f>
        <v>Einzel-Zimmer, keine Schleuse</v>
      </c>
      <c r="B66" s="845">
        <v>1</v>
      </c>
      <c r="C66" s="853"/>
      <c r="D66" s="863"/>
      <c r="E66" s="2350" t="str">
        <f>AI66</f>
        <v>Bei mehreren Zimmern mit unterschiedlicher Grösse bitte Nutzfläche des KLEINSTEN Zimmers angeben (m2).
Falls Zimmer anders genutzt werden (z.B. als Büro, Behandlungsraum etc), diese hier NICHT eingeben.</v>
      </c>
      <c r="F66" s="1203" t="str">
        <f t="shared" ref="F66:F72" si="22">IF(C66=0,"/",D66/B66)</f>
        <v>/</v>
      </c>
      <c r="G66" s="1204" t="s">
        <v>1137</v>
      </c>
      <c r="H66" s="805"/>
      <c r="I66" s="1841"/>
      <c r="J66" s="805"/>
      <c r="K66" s="805"/>
      <c r="L66" s="805"/>
      <c r="M66" s="2041"/>
      <c r="O66" s="1927"/>
      <c r="P66" s="1935"/>
      <c r="Q66" s="881"/>
      <c r="S66" s="873"/>
      <c r="T66" s="873"/>
      <c r="U66" s="874"/>
      <c r="V66" s="873"/>
      <c r="W66" s="873"/>
      <c r="X66" s="873"/>
      <c r="Y66" s="873"/>
      <c r="Z66" s="926"/>
      <c r="AA66" s="873"/>
      <c r="AB66" s="873"/>
      <c r="AD66" s="848" t="s">
        <v>1106</v>
      </c>
      <c r="AE66" s="849" t="s">
        <v>1233</v>
      </c>
      <c r="AF66" s="364" t="str">
        <f t="shared" si="18"/>
        <v>Einzel-Zimmer, keine Schleuse</v>
      </c>
      <c r="AG66" s="848" t="s">
        <v>1958</v>
      </c>
      <c r="AH66" s="849" t="s">
        <v>1959</v>
      </c>
      <c r="AI66" s="2049" t="str">
        <f t="shared" si="15"/>
        <v>Bei mehreren Zimmern mit unterschiedlicher Grösse bitte Nutzfläche des KLEINSTEN Zimmers angeben (m2).
Falls Zimmer anders genutzt werden (z.B. als Büro, Behandlungsraum etc), diese hier NICHT eingeben.</v>
      </c>
      <c r="AK66" s="2041"/>
    </row>
    <row r="67" spans="1:37" s="799" customFormat="1" ht="17">
      <c r="A67" s="881" t="str">
        <f t="shared" si="21"/>
        <v>2 Bett-Zimmer</v>
      </c>
      <c r="B67" s="845">
        <v>2</v>
      </c>
      <c r="C67" s="853"/>
      <c r="D67" s="863"/>
      <c r="E67" s="2350"/>
      <c r="F67" s="1203" t="str">
        <f t="shared" si="22"/>
        <v>/</v>
      </c>
      <c r="G67" s="1204" t="s">
        <v>1136</v>
      </c>
      <c r="H67" s="805"/>
      <c r="I67" s="1841"/>
      <c r="J67" s="805"/>
      <c r="K67" s="805"/>
      <c r="L67" s="805"/>
      <c r="M67" s="2041"/>
      <c r="O67" s="1927"/>
      <c r="P67" s="1935"/>
      <c r="Q67" s="881"/>
      <c r="S67" s="873"/>
      <c r="T67" s="873"/>
      <c r="U67" s="874"/>
      <c r="V67" s="873"/>
      <c r="W67" s="873"/>
      <c r="X67" s="873"/>
      <c r="Y67" s="873"/>
      <c r="Z67" s="926"/>
      <c r="AA67" s="873"/>
      <c r="AB67" s="873"/>
      <c r="AD67" s="848" t="s">
        <v>1098</v>
      </c>
      <c r="AE67" s="849" t="s">
        <v>1234</v>
      </c>
      <c r="AF67" s="364" t="str">
        <f t="shared" si="18"/>
        <v>2 Bett-Zimmer</v>
      </c>
      <c r="AG67" s="848"/>
      <c r="AH67" s="849"/>
      <c r="AI67" s="2049" t="str">
        <f t="shared" si="15"/>
        <v/>
      </c>
      <c r="AK67" s="2041"/>
    </row>
    <row r="68" spans="1:37" s="799" customFormat="1" ht="17">
      <c r="A68" s="881" t="str">
        <f t="shared" si="21"/>
        <v>3 Bett-Zimmer</v>
      </c>
      <c r="B68" s="845">
        <v>3</v>
      </c>
      <c r="C68" s="853"/>
      <c r="D68" s="863"/>
      <c r="E68" s="2350"/>
      <c r="F68" s="1203" t="str">
        <f t="shared" si="22"/>
        <v>/</v>
      </c>
      <c r="G68" s="1204" t="s">
        <v>1136</v>
      </c>
      <c r="H68" s="805"/>
      <c r="I68" s="1841"/>
      <c r="J68" s="805"/>
      <c r="K68" s="805"/>
      <c r="L68" s="805"/>
      <c r="M68" s="2041"/>
      <c r="O68" s="1927"/>
      <c r="P68" s="1935"/>
      <c r="Q68" s="881"/>
      <c r="S68" s="873"/>
      <c r="T68" s="873"/>
      <c r="U68" s="874"/>
      <c r="V68" s="873"/>
      <c r="W68" s="873"/>
      <c r="X68" s="873"/>
      <c r="Y68" s="873"/>
      <c r="Z68" s="926"/>
      <c r="AA68" s="873"/>
      <c r="AB68" s="873"/>
      <c r="AD68" s="848" t="s">
        <v>1099</v>
      </c>
      <c r="AE68" s="849" t="s">
        <v>1235</v>
      </c>
      <c r="AF68" s="364" t="str">
        <f t="shared" si="18"/>
        <v>3 Bett-Zimmer</v>
      </c>
      <c r="AG68" s="848"/>
      <c r="AH68" s="849"/>
      <c r="AI68" s="2049" t="str">
        <f t="shared" si="15"/>
        <v/>
      </c>
      <c r="AK68" s="2041"/>
    </row>
    <row r="69" spans="1:37" s="799" customFormat="1" ht="17">
      <c r="A69" s="881" t="str">
        <f t="shared" si="21"/>
        <v>4 Bett-Zimmer</v>
      </c>
      <c r="B69" s="845">
        <v>4</v>
      </c>
      <c r="C69" s="853"/>
      <c r="D69" s="863"/>
      <c r="E69" s="2350"/>
      <c r="F69" s="1203" t="str">
        <f t="shared" si="22"/>
        <v>/</v>
      </c>
      <c r="G69" s="1204" t="s">
        <v>1136</v>
      </c>
      <c r="H69" s="805"/>
      <c r="I69" s="1841"/>
      <c r="J69" s="805"/>
      <c r="K69" s="805"/>
      <c r="L69" s="805"/>
      <c r="M69" s="2041"/>
      <c r="O69" s="1927"/>
      <c r="P69" s="1935"/>
      <c r="Q69" s="881"/>
      <c r="S69" s="873"/>
      <c r="T69" s="873"/>
      <c r="U69" s="874"/>
      <c r="V69" s="873"/>
      <c r="W69" s="873"/>
      <c r="X69" s="873"/>
      <c r="Y69" s="873"/>
      <c r="Z69" s="926"/>
      <c r="AA69" s="873"/>
      <c r="AB69" s="873"/>
      <c r="AD69" s="848" t="s">
        <v>1100</v>
      </c>
      <c r="AE69" s="849" t="s">
        <v>1236</v>
      </c>
      <c r="AF69" s="364" t="str">
        <f t="shared" si="18"/>
        <v>4 Bett-Zimmer</v>
      </c>
      <c r="AG69" s="848"/>
      <c r="AH69" s="849"/>
      <c r="AI69" s="2049" t="str">
        <f t="shared" si="15"/>
        <v/>
      </c>
      <c r="AK69" s="2041"/>
    </row>
    <row r="70" spans="1:37" s="799" customFormat="1" ht="17">
      <c r="A70" s="881" t="str">
        <f>AF$70</f>
        <v>&gt;4 Betten pro Zimmer</v>
      </c>
      <c r="B70" s="864"/>
      <c r="C70" s="853"/>
      <c r="D70" s="863"/>
      <c r="E70" s="2350"/>
      <c r="F70" s="1203" t="str">
        <f t="shared" si="22"/>
        <v>/</v>
      </c>
      <c r="G70" s="1204" t="s">
        <v>1136</v>
      </c>
      <c r="H70" s="805"/>
      <c r="I70" s="1841"/>
      <c r="J70" s="805"/>
      <c r="K70" s="805"/>
      <c r="L70" s="805"/>
      <c r="M70" s="2041"/>
      <c r="O70" s="1927"/>
      <c r="P70" s="1935"/>
      <c r="Q70" s="881"/>
      <c r="S70" s="873"/>
      <c r="T70" s="873"/>
      <c r="U70" s="874"/>
      <c r="V70" s="873"/>
      <c r="W70" s="873"/>
      <c r="X70" s="873"/>
      <c r="Y70" s="873"/>
      <c r="Z70" s="926"/>
      <c r="AA70" s="873"/>
      <c r="AB70" s="873"/>
      <c r="AD70" s="848" t="s">
        <v>1101</v>
      </c>
      <c r="AE70" s="849" t="s">
        <v>1237</v>
      </c>
      <c r="AF70" s="364" t="str">
        <f t="shared" si="18"/>
        <v>&gt;4 Betten pro Zimmer</v>
      </c>
      <c r="AG70" s="848"/>
      <c r="AH70" s="849"/>
      <c r="AI70" s="2049" t="str">
        <f t="shared" si="15"/>
        <v/>
      </c>
      <c r="AK70" s="2041"/>
    </row>
    <row r="71" spans="1:37" s="799" customFormat="1" ht="17">
      <c r="A71" s="881" t="str">
        <f t="shared" ref="A71:A72" si="23">AF$70</f>
        <v>&gt;4 Betten pro Zimmer</v>
      </c>
      <c r="B71" s="864"/>
      <c r="C71" s="853"/>
      <c r="D71" s="863"/>
      <c r="E71" s="2350"/>
      <c r="F71" s="1203" t="str">
        <f t="shared" si="22"/>
        <v>/</v>
      </c>
      <c r="G71" s="1204" t="s">
        <v>1136</v>
      </c>
      <c r="H71" s="805"/>
      <c r="I71" s="1841"/>
      <c r="J71" s="805"/>
      <c r="K71" s="805"/>
      <c r="L71" s="805"/>
      <c r="M71" s="2041"/>
      <c r="O71" s="1927"/>
      <c r="P71" s="1935"/>
      <c r="Q71" s="881"/>
      <c r="S71" s="873"/>
      <c r="T71" s="873"/>
      <c r="U71" s="874"/>
      <c r="V71" s="873"/>
      <c r="W71" s="873"/>
      <c r="X71" s="873"/>
      <c r="Y71" s="873"/>
      <c r="Z71" s="926"/>
      <c r="AA71" s="873"/>
      <c r="AB71" s="873"/>
      <c r="AD71" s="848" t="s">
        <v>1112</v>
      </c>
      <c r="AE71" s="849" t="s">
        <v>1238</v>
      </c>
      <c r="AF71" s="364" t="str">
        <f t="shared" si="18"/>
        <v>Zahl zu tief, bitte Angaben "Zimmer" korrigieren</v>
      </c>
      <c r="AG71" s="848"/>
      <c r="AH71" s="849"/>
      <c r="AI71" s="2049" t="str">
        <f t="shared" si="15"/>
        <v/>
      </c>
      <c r="AK71" s="2041"/>
    </row>
    <row r="72" spans="1:37" s="799" customFormat="1" ht="24">
      <c r="A72" s="881" t="str">
        <f t="shared" si="23"/>
        <v>&gt;4 Betten pro Zimmer</v>
      </c>
      <c r="B72" s="864"/>
      <c r="C72" s="853"/>
      <c r="D72" s="863"/>
      <c r="E72" s="2350"/>
      <c r="F72" s="1203" t="str">
        <f t="shared" si="22"/>
        <v>/</v>
      </c>
      <c r="G72" s="1204" t="s">
        <v>1136</v>
      </c>
      <c r="H72" s="805"/>
      <c r="I72" s="1841"/>
      <c r="J72" s="805"/>
      <c r="K72" s="805"/>
      <c r="L72" s="805"/>
      <c r="M72" s="2041"/>
      <c r="O72" s="1927"/>
      <c r="P72" s="1935"/>
      <c r="Q72" s="881"/>
      <c r="S72" s="873"/>
      <c r="T72" s="873"/>
      <c r="U72" s="874"/>
      <c r="V72" s="873"/>
      <c r="W72" s="873"/>
      <c r="X72" s="873"/>
      <c r="Y72" s="873"/>
      <c r="Z72" s="926"/>
      <c r="AA72" s="873"/>
      <c r="AB72" s="873"/>
      <c r="AD72" s="848" t="s">
        <v>1481</v>
      </c>
      <c r="AE72" s="849" t="s">
        <v>1482</v>
      </c>
      <c r="AF72" s="364" t="str">
        <f t="shared" si="18"/>
        <v xml:space="preserve">Bettenzahl höher als angefragt. Anzahl für Zertifikat: </v>
      </c>
      <c r="AG72" s="848"/>
      <c r="AH72" s="849"/>
      <c r="AI72" s="2049" t="str">
        <f t="shared" si="15"/>
        <v/>
      </c>
      <c r="AK72" s="2041"/>
    </row>
    <row r="73" spans="1:37" s="799" customFormat="1" ht="30" customHeight="1">
      <c r="A73" s="870" t="str">
        <f>AF73</f>
        <v>Bettenanzahl Total, alle Zimmer</v>
      </c>
      <c r="B73" s="887">
        <f>SUMPRODUCT(B65:B72,C65:C72)</f>
        <v>0</v>
      </c>
      <c r="C73" s="2373" t="str">
        <f>IF(B73=B22,"",IF(B73&lt;B22,AF71,AF72&amp;B22))</f>
        <v/>
      </c>
      <c r="D73" s="2373"/>
      <c r="E73" s="798" t="str">
        <f>AI73</f>
        <v>Bitte Zahl kontrollieren, und ggbf. Angaben oben korrigieren</v>
      </c>
      <c r="F73" s="1203"/>
      <c r="G73" s="1200"/>
      <c r="H73" s="805"/>
      <c r="I73" s="1841"/>
      <c r="J73" s="805"/>
      <c r="K73" s="805"/>
      <c r="L73" s="805"/>
      <c r="M73" s="2041"/>
      <c r="O73" s="1927"/>
      <c r="P73" s="1935"/>
      <c r="Q73" s="881"/>
      <c r="S73" s="873"/>
      <c r="T73" s="873"/>
      <c r="U73" s="874"/>
      <c r="V73" s="873"/>
      <c r="W73" s="873"/>
      <c r="X73" s="873"/>
      <c r="Y73" s="873"/>
      <c r="Z73" s="926"/>
      <c r="AA73" s="873"/>
      <c r="AB73" s="873"/>
      <c r="AD73" s="848" t="s">
        <v>1102</v>
      </c>
      <c r="AE73" s="849" t="s">
        <v>1239</v>
      </c>
      <c r="AF73" s="364" t="str">
        <f t="shared" si="18"/>
        <v>Bettenanzahl Total, alle Zimmer</v>
      </c>
      <c r="AG73" s="848" t="s">
        <v>1458</v>
      </c>
      <c r="AH73" s="849" t="s">
        <v>1459</v>
      </c>
      <c r="AI73" s="2049" t="str">
        <f t="shared" si="15"/>
        <v>Bitte Zahl kontrollieren, und ggbf. Angaben oben korrigieren</v>
      </c>
      <c r="AK73" s="2041"/>
    </row>
    <row r="74" spans="1:37" s="868" customFormat="1" ht="32.25" customHeight="1">
      <c r="A74" s="805" t="str">
        <f>AF74</f>
        <v>Gesamtnutzfläche, ganze Station</v>
      </c>
      <c r="B74" s="864"/>
      <c r="C74" s="845"/>
      <c r="D74" s="845"/>
      <c r="E74" s="798" t="str">
        <f>AI74</f>
        <v>Patientenzimmer PLUS alle Räume, Büros, Gänge, Zentralen und anders benutzte Zimmer  (m2)</v>
      </c>
      <c r="F74" s="1203" t="e">
        <f>B74/B73</f>
        <v>#DIV/0!</v>
      </c>
      <c r="G74" s="1205" t="s">
        <v>1135</v>
      </c>
      <c r="H74" s="867"/>
      <c r="I74" s="1841" t="s">
        <v>788</v>
      </c>
      <c r="J74" s="867"/>
      <c r="K74" s="867"/>
      <c r="L74" s="867"/>
      <c r="M74" s="2041"/>
      <c r="O74" s="1927" t="s">
        <v>789</v>
      </c>
      <c r="P74" s="1936"/>
      <c r="Q74" s="798" t="s">
        <v>1941</v>
      </c>
      <c r="S74" s="874"/>
      <c r="T74" s="874"/>
      <c r="U74" s="874"/>
      <c r="V74" s="874"/>
      <c r="W74" s="874"/>
      <c r="X74" s="874"/>
      <c r="Y74" s="874"/>
      <c r="Z74" s="926"/>
      <c r="AA74" s="874"/>
      <c r="AB74" s="874"/>
      <c r="AD74" s="848" t="s">
        <v>1951</v>
      </c>
      <c r="AE74" s="849" t="s">
        <v>1953</v>
      </c>
      <c r="AF74" s="364" t="str">
        <f t="shared" si="18"/>
        <v>Gesamtnutzfläche, ganze Station</v>
      </c>
      <c r="AG74" s="973" t="s">
        <v>1954</v>
      </c>
      <c r="AH74" s="849" t="s">
        <v>1955</v>
      </c>
      <c r="AI74" s="2051" t="str">
        <f t="shared" si="15"/>
        <v>Patientenzimmer PLUS alle Räume, Büros, Gänge, Zentralen und anders benutzte Zimmer  (m2)</v>
      </c>
      <c r="AK74" s="2041"/>
    </row>
    <row r="75" spans="1:37">
      <c r="F75" s="1197"/>
      <c r="G75" s="1198"/>
      <c r="AD75" s="400"/>
      <c r="AE75" s="401"/>
      <c r="AF75" s="364"/>
      <c r="AG75" s="400"/>
      <c r="AH75" s="401"/>
      <c r="AI75" s="2051" t="str">
        <f t="shared" si="15"/>
        <v/>
      </c>
    </row>
    <row r="76" spans="1:37" ht="36" customHeight="1">
      <c r="A76" s="2354" t="str">
        <f t="shared" ref="A76" si="24">AF76</f>
        <v>Angaben zur Organisation des ärztlichen Dienstes</v>
      </c>
      <c r="B76" s="2354"/>
      <c r="F76" s="1197"/>
      <c r="G76" s="1198"/>
      <c r="S76" s="1006" t="s">
        <v>1108</v>
      </c>
      <c r="T76" s="1007" t="s">
        <v>898</v>
      </c>
      <c r="U76" s="1008" t="s">
        <v>1110</v>
      </c>
      <c r="AD76" s="221" t="s">
        <v>1487</v>
      </c>
      <c r="AE76" s="347" t="s">
        <v>1240</v>
      </c>
      <c r="AF76" s="362" t="str">
        <f t="shared" ref="AF76:AF88" si="25">IF(AD76=0,"",IF($A$1="D",AD76,AE76))</f>
        <v>Angaben zur Organisation des ärztlichen Dienstes</v>
      </c>
    </row>
    <row r="77" spans="1:37" ht="26" customHeight="1">
      <c r="A77" s="797" t="str">
        <f>AF77</f>
        <v>Ärztliche Leitung</v>
      </c>
      <c r="B77"/>
      <c r="C77"/>
      <c r="D77" s="796"/>
      <c r="O77" s="1926" t="s">
        <v>789</v>
      </c>
      <c r="S77" s="1012">
        <f>IF($B$22&lt;8,Liste!$J$2,IF($B$22&lt;12,Liste!$J$3,Liste!$J$4))</f>
        <v>0.8</v>
      </c>
      <c r="T77" s="1013" t="e">
        <f>B78+B84</f>
        <v>#VALUE!</v>
      </c>
      <c r="U77" s="1014" t="e">
        <f>T77/S77</f>
        <v>#VALUE!</v>
      </c>
      <c r="V77" s="878"/>
      <c r="W77" s="878"/>
      <c r="X77" s="878"/>
      <c r="Y77" s="878"/>
      <c r="Z77" s="927"/>
      <c r="AA77" s="878"/>
      <c r="AB77" s="878"/>
      <c r="AD77" s="321" t="s">
        <v>1488</v>
      </c>
      <c r="AE77" s="322" t="s">
        <v>950</v>
      </c>
      <c r="AF77" s="362" t="str">
        <f t="shared" si="25"/>
        <v>Ärztliche Leitung</v>
      </c>
      <c r="AG77" s="221" t="s">
        <v>1044</v>
      </c>
      <c r="AH77" s="347" t="s">
        <v>1342</v>
      </c>
      <c r="AI77" s="2049" t="str">
        <f>IF(AG77=0,"",IF($A$1="D",AG77,AH77))</f>
        <v>seit (Jahr):</v>
      </c>
    </row>
    <row r="78" spans="1:37" ht="23" customHeight="1">
      <c r="A78" s="826" t="str">
        <f>AF$78</f>
        <v>Anstellungsgrad IS (%)</v>
      </c>
      <c r="B78" s="1844" t="str">
        <f>IF(T92=0,AI79,T92)</f>
        <v>Eingabe s.u.</v>
      </c>
      <c r="C78" s="796"/>
      <c r="D78" s="796"/>
      <c r="E78" s="830" t="str">
        <f>AI78</f>
        <v>Einstellungsgrad des Ärztlichen Leiters wird von Feld unten übernommen.</v>
      </c>
      <c r="F78" s="1197"/>
      <c r="G78" s="1207"/>
      <c r="AD78" s="321" t="s">
        <v>2095</v>
      </c>
      <c r="AE78" s="322" t="s">
        <v>1242</v>
      </c>
      <c r="AF78" s="362" t="str">
        <f>IF(AD78=0,"",IF($A$1="D",AD78,AE78))</f>
        <v>Anstellungsgrad IS (%)</v>
      </c>
      <c r="AG78" s="221" t="s">
        <v>2030</v>
      </c>
      <c r="AH78" s="347" t="s">
        <v>2031</v>
      </c>
      <c r="AI78" s="2049" t="str">
        <f>IF(AG78=0,"",IF($A$1="D",AG78,AH78))</f>
        <v>Einstellungsgrad des Ärztlichen Leiters wird von Feld unten übernommen.</v>
      </c>
    </row>
    <row r="79" spans="1:37" ht="23" customHeight="1">
      <c r="A79" s="826" t="str">
        <f>AF$79</f>
        <v>Name</v>
      </c>
      <c r="B79" s="2372"/>
      <c r="C79" s="2372"/>
      <c r="D79" s="796"/>
      <c r="F79" s="1197"/>
      <c r="G79" s="1198"/>
      <c r="I79" s="1840" t="s">
        <v>788</v>
      </c>
      <c r="O79" s="1926" t="s">
        <v>789</v>
      </c>
      <c r="V79" s="879"/>
      <c r="W79" s="879"/>
      <c r="X79" s="879"/>
      <c r="Y79" s="879"/>
      <c r="Z79" s="928"/>
      <c r="AA79" s="879"/>
      <c r="AB79" s="879"/>
      <c r="AD79" s="321" t="s">
        <v>861</v>
      </c>
      <c r="AE79" s="322" t="s">
        <v>864</v>
      </c>
      <c r="AF79" s="362" t="str">
        <f t="shared" si="25"/>
        <v>Name</v>
      </c>
      <c r="AG79" s="221" t="s">
        <v>1920</v>
      </c>
      <c r="AH79" s="347" t="s">
        <v>1921</v>
      </c>
      <c r="AI79" s="2049" t="str">
        <f t="shared" ref="AI79:AI86" si="26">IF(AG79=0,"",IF($A$1="D",AG79,AH79))</f>
        <v>Eingabe s.u.</v>
      </c>
    </row>
    <row r="80" spans="1:37" ht="65" customHeight="1">
      <c r="A80" s="826" t="str">
        <f>AF$80</f>
        <v>Facharzt CH Intensivmedizin oder anerkannte Äquivalenz</v>
      </c>
      <c r="B80" s="509"/>
      <c r="C80" s="828" t="str">
        <f>AI77</f>
        <v>seit (Jahr):</v>
      </c>
      <c r="D80" s="829"/>
      <c r="E80" s="271" t="str">
        <f>AI80</f>
        <v>Bitte das Jahr des Erwerbs des schweiz. Facharzttitels eingeben. 
Falls eine Bestätigung der Äquivalenz vorliegt, bitte das Jahr eingeben, in dem Vorstand der SGI  die Gleichwertigkeit der Weiterbildung in Intensivmedizin erteilt hat.</v>
      </c>
      <c r="F80" s="1197"/>
      <c r="G80" s="1198"/>
      <c r="AD80" s="321" t="s">
        <v>2080</v>
      </c>
      <c r="AE80" s="322" t="s">
        <v>2081</v>
      </c>
      <c r="AF80" s="362" t="str">
        <f t="shared" si="25"/>
        <v>Facharzt CH Intensivmedizin oder anerkannte Äquivalenz</v>
      </c>
      <c r="AG80" s="221" t="s">
        <v>2079</v>
      </c>
      <c r="AH80" s="347" t="s">
        <v>2082</v>
      </c>
      <c r="AI80" s="2049" t="str">
        <f>IF(AG80=0,"",IF($A$1="D",AG80,AH80))</f>
        <v>Bitte das Jahr des Erwerbs des schweiz. Facharzttitels eingeben. 
Falls eine Bestätigung der Äquivalenz vorliegt, bitte das Jahr eingeben, in dem Vorstand der SGI  die Gleichwertigkeit der Weiterbildung in Intensivmedizin erteilt hat.</v>
      </c>
    </row>
    <row r="81" spans="1:37" ht="23" customHeight="1">
      <c r="A81" s="826" t="str">
        <f>AF$81</f>
        <v>Anmerkung</v>
      </c>
      <c r="B81" s="2359"/>
      <c r="C81" s="2359"/>
      <c r="D81" s="2359"/>
      <c r="E81" s="271" t="str">
        <f>AI81</f>
        <v>Text (frei), falls Erklärung nötig</v>
      </c>
      <c r="F81" s="1197"/>
      <c r="G81" s="1198"/>
      <c r="AD81" s="321" t="s">
        <v>1045</v>
      </c>
      <c r="AE81" s="322" t="s">
        <v>1241</v>
      </c>
      <c r="AF81" s="362" t="str">
        <f t="shared" si="25"/>
        <v>Anmerkung</v>
      </c>
      <c r="AG81" s="221" t="s">
        <v>1046</v>
      </c>
      <c r="AH81" s="347" t="s">
        <v>1289</v>
      </c>
      <c r="AI81" s="2049" t="str">
        <f t="shared" si="26"/>
        <v>Text (frei), falls Erklärung nötig</v>
      </c>
    </row>
    <row r="82" spans="1:37" ht="23" customHeight="1">
      <c r="A82" s="826" t="str">
        <f>AF$82</f>
        <v>Mail</v>
      </c>
      <c r="B82" s="2358" t="s">
        <v>1919</v>
      </c>
      <c r="C82" s="2359"/>
      <c r="D82" s="2359"/>
      <c r="E82" s="271" t="str">
        <f>AI82</f>
        <v xml:space="preserve"> @ bitte offizielles Dienstmail angeben</v>
      </c>
      <c r="F82" s="1197"/>
      <c r="G82" s="1198"/>
      <c r="AD82" s="321" t="s">
        <v>1640</v>
      </c>
      <c r="AE82" s="322" t="s">
        <v>1640</v>
      </c>
      <c r="AF82" s="362" t="str">
        <f t="shared" si="25"/>
        <v>Mail</v>
      </c>
      <c r="AG82" s="221" t="s">
        <v>1641</v>
      </c>
      <c r="AH82" s="347" t="s">
        <v>1642</v>
      </c>
      <c r="AI82" s="2049" t="str">
        <f t="shared" si="26"/>
        <v xml:space="preserve"> @ bitte offizielles Dienstmail angeben</v>
      </c>
    </row>
    <row r="83" spans="1:37" ht="26" customHeight="1">
      <c r="A83" s="797" t="str">
        <f>AF83</f>
        <v>Ärztliche Leitung, Stellvertreter</v>
      </c>
      <c r="B83"/>
      <c r="C83"/>
      <c r="D83" s="796"/>
      <c r="F83" s="1197"/>
      <c r="G83" s="1198"/>
      <c r="AD83" s="321" t="s">
        <v>1489</v>
      </c>
      <c r="AE83" s="322" t="s">
        <v>1049</v>
      </c>
      <c r="AF83" s="362" t="str">
        <f t="shared" si="25"/>
        <v>Ärztliche Leitung, Stellvertreter</v>
      </c>
      <c r="AI83" s="2049" t="str">
        <f t="shared" si="26"/>
        <v/>
      </c>
    </row>
    <row r="84" spans="1:37" ht="23" customHeight="1">
      <c r="A84" s="826" t="str">
        <f>AF$84</f>
        <v>Anstellungsgrad IS stellvertr. Leitung (%)</v>
      </c>
      <c r="B84" s="1844">
        <f>B101</f>
        <v>0</v>
      </c>
      <c r="C84" s="796"/>
      <c r="D84" s="796"/>
      <c r="E84" s="830" t="str">
        <f>AI84</f>
        <v>Einstellungsgrad des stellvertr. Leiters wird von Feld unten übernommen.</v>
      </c>
      <c r="F84" s="1197"/>
      <c r="G84" s="1207"/>
      <c r="AD84" s="321" t="s">
        <v>2096</v>
      </c>
      <c r="AE84" s="322" t="s">
        <v>1945</v>
      </c>
      <c r="AF84" s="362" t="str">
        <f t="shared" ref="AF84" si="27">IF(AD84=0,"",IF($A$1="D",AD84,AE84))</f>
        <v>Anstellungsgrad IS stellvertr. Leitung (%)</v>
      </c>
      <c r="AG84" s="221" t="s">
        <v>1968</v>
      </c>
      <c r="AH84" s="347" t="s">
        <v>1967</v>
      </c>
      <c r="AI84" s="2049" t="str">
        <f>IF(AG84=0,"",IF($A$1="D",AG84,AH84))</f>
        <v>Einstellungsgrad des stellvertr. Leiters wird von Feld unten übernommen.</v>
      </c>
    </row>
    <row r="85" spans="1:37" ht="23" customHeight="1">
      <c r="A85" s="826" t="str">
        <f>AF$79</f>
        <v>Name</v>
      </c>
      <c r="B85" s="2372"/>
      <c r="C85" s="2372"/>
      <c r="D85" s="796"/>
      <c r="F85" s="1197"/>
      <c r="G85" s="1198"/>
      <c r="AD85" s="321"/>
      <c r="AE85" s="322"/>
      <c r="AF85" s="362" t="str">
        <f t="shared" si="25"/>
        <v/>
      </c>
      <c r="AI85" s="2049" t="str">
        <f t="shared" si="26"/>
        <v/>
      </c>
    </row>
    <row r="86" spans="1:37" ht="35" customHeight="1">
      <c r="A86" s="826" t="str">
        <f>AF$80</f>
        <v>Facharzt CH Intensivmedizin oder anerkannte Äquivalenz</v>
      </c>
      <c r="B86" s="509"/>
      <c r="C86" s="828" t="str">
        <f>AI77</f>
        <v>seit (Jahr):</v>
      </c>
      <c r="D86" s="829"/>
      <c r="F86" s="1197"/>
      <c r="G86" s="1198"/>
      <c r="AD86" s="321"/>
      <c r="AE86" s="322"/>
      <c r="AF86" s="362" t="str">
        <f t="shared" si="25"/>
        <v/>
      </c>
      <c r="AI86" s="2049" t="str">
        <f t="shared" si="26"/>
        <v/>
      </c>
    </row>
    <row r="87" spans="1:37" ht="16" customHeight="1">
      <c r="F87" s="1197"/>
      <c r="G87" s="1198"/>
      <c r="AD87" s="400"/>
      <c r="AE87" s="401"/>
      <c r="AF87" s="362" t="str">
        <f t="shared" si="25"/>
        <v/>
      </c>
    </row>
    <row r="88" spans="1:37" s="510" customFormat="1" ht="54" customHeight="1" thickBot="1">
      <c r="A88" s="1850" t="str">
        <f>AF88</f>
        <v>Ärzte,
Alle Stellen einschl. Leitung u. Stellvertretung</v>
      </c>
      <c r="B88" s="1837" t="str">
        <f>AI$122</f>
        <v>Durschnitt an Stellen,
letztes abgeschlossenes Kalenderjahr 
(gem. MDSi)</v>
      </c>
      <c r="C88" s="2357" t="str">
        <f>AI$123</f>
        <v>Stand zum Zeitpunkt des Antrags
(nur falls abweichend vom letzten Kalenderjahr)</v>
      </c>
      <c r="D88" s="2357"/>
      <c r="E88" s="831"/>
      <c r="F88" s="1197"/>
      <c r="G88" s="1198"/>
      <c r="H88" s="780"/>
      <c r="I88" s="1839"/>
      <c r="J88" s="780"/>
      <c r="K88" s="780"/>
      <c r="L88" s="780"/>
      <c r="M88" s="2041"/>
      <c r="O88" s="1925"/>
      <c r="P88" s="1934"/>
      <c r="Q88" s="1917"/>
      <c r="S88" s="871"/>
      <c r="T88" s="871"/>
      <c r="U88" s="885"/>
      <c r="V88" s="871"/>
      <c r="W88" s="871"/>
      <c r="X88" s="871"/>
      <c r="Y88" s="871"/>
      <c r="Z88" s="924"/>
      <c r="AA88" s="871"/>
      <c r="AB88" s="871"/>
      <c r="AD88" s="258" t="s">
        <v>1932</v>
      </c>
      <c r="AE88" s="781" t="s">
        <v>1933</v>
      </c>
      <c r="AF88" s="476" t="str">
        <f t="shared" si="25"/>
        <v>Ärzte,
Alle Stellen einschl. Leitung u. Stellvertretung</v>
      </c>
      <c r="AG88" s="258" t="s">
        <v>1039</v>
      </c>
      <c r="AH88" s="781" t="s">
        <v>1040</v>
      </c>
      <c r="AI88" s="2053" t="str">
        <f t="shared" ref="AI88:AI91" si="28">IF(AG88=0,"",IF($A$1="D",AG88,AH88))</f>
        <v>Durschnitt des letzten Kalenderjahres</v>
      </c>
      <c r="AK88" s="2041"/>
    </row>
    <row r="89" spans="1:37" ht="14.25" customHeight="1">
      <c r="A89" s="821"/>
      <c r="B89" s="2356" t="str">
        <f>AF$133</f>
        <v>Besetzte Stellen laut MDSi</v>
      </c>
      <c r="C89" s="2356"/>
      <c r="D89" s="1016" t="str">
        <f>AI$133</f>
        <v>Bewilligte  Stellen</v>
      </c>
      <c r="E89" s="800"/>
      <c r="F89" s="1197"/>
      <c r="G89" s="1197"/>
      <c r="S89" s="1073"/>
      <c r="T89" s="1061" t="s">
        <v>1148</v>
      </c>
      <c r="U89" s="1062" t="s">
        <v>1150</v>
      </c>
      <c r="AD89" s="321"/>
      <c r="AE89" s="322"/>
      <c r="AF89" s="362"/>
      <c r="AG89" s="468"/>
      <c r="AH89" s="469"/>
      <c r="AI89" s="2049" t="str">
        <f t="shared" si="28"/>
        <v/>
      </c>
    </row>
    <row r="90" spans="1:37" s="799" customFormat="1" ht="12.75" customHeight="1">
      <c r="A90" s="833"/>
      <c r="B90" s="822">
        <f>YEAR(B$10)-1</f>
        <v>1899</v>
      </c>
      <c r="C90" s="1017">
        <f>B$10</f>
        <v>0</v>
      </c>
      <c r="D90" s="1017">
        <f>B$10</f>
        <v>0</v>
      </c>
      <c r="E90" s="798"/>
      <c r="F90" s="1197"/>
      <c r="G90" s="1198"/>
      <c r="H90" s="805"/>
      <c r="I90" s="1841"/>
      <c r="J90" s="805"/>
      <c r="K90" s="805"/>
      <c r="L90" s="805"/>
      <c r="M90" s="2041"/>
      <c r="O90" s="1927"/>
      <c r="P90" s="1935"/>
      <c r="Q90" s="881"/>
      <c r="S90" s="1063">
        <f>B90</f>
        <v>1899</v>
      </c>
      <c r="T90" s="1072">
        <f>C90</f>
        <v>0</v>
      </c>
      <c r="U90" s="1064">
        <f>D90</f>
        <v>0</v>
      </c>
      <c r="V90" s="873"/>
      <c r="W90" s="873"/>
      <c r="X90" s="873"/>
      <c r="Y90" s="873"/>
      <c r="Z90" s="926"/>
      <c r="AA90" s="873"/>
      <c r="AB90" s="873"/>
      <c r="AD90" s="221"/>
      <c r="AE90" s="347"/>
      <c r="AF90" s="362" t="str">
        <f t="shared" ref="AF90:AF139" si="29">IF(AD90=0,"",IF($A$1="D",AD90,AE90))</f>
        <v/>
      </c>
      <c r="AG90" s="420"/>
      <c r="AH90" s="421"/>
      <c r="AI90" s="2049" t="str">
        <f t="shared" si="28"/>
        <v/>
      </c>
      <c r="AK90" s="2041"/>
    </row>
    <row r="91" spans="1:37" s="799" customFormat="1" ht="23" customHeight="1">
      <c r="A91" s="860" t="str">
        <f>AF91</f>
        <v>Fachärzte Intensivmedizin, n Personen</v>
      </c>
      <c r="B91" s="1071"/>
      <c r="C91" s="1071"/>
      <c r="D91" s="1018"/>
      <c r="E91" s="859" t="str">
        <f>AI91</f>
        <v>Anzahl der auf der IS arbeitenden Fachärzte Intensivmedizin, einschl. ärztlicher Leiter u. Stellvertr.</v>
      </c>
      <c r="F91" s="1197"/>
      <c r="G91" s="1198"/>
      <c r="H91" s="805"/>
      <c r="I91" s="1841"/>
      <c r="J91" s="805"/>
      <c r="K91" s="805"/>
      <c r="L91" s="805"/>
      <c r="M91" s="2041"/>
      <c r="O91" s="1927"/>
      <c r="P91" s="1935"/>
      <c r="Q91" s="881"/>
      <c r="S91" s="1065"/>
      <c r="T91" s="910"/>
      <c r="U91" s="1066"/>
      <c r="V91" s="873"/>
      <c r="W91" s="873"/>
      <c r="X91" s="873"/>
      <c r="Y91" s="873"/>
      <c r="Z91" s="926"/>
      <c r="AA91" s="873"/>
      <c r="AB91" s="873"/>
      <c r="AD91" s="257" t="s">
        <v>1057</v>
      </c>
      <c r="AE91" s="325" t="s">
        <v>1243</v>
      </c>
      <c r="AF91" s="364" t="str">
        <f t="shared" si="29"/>
        <v>Fachärzte Intensivmedizin, n Personen</v>
      </c>
      <c r="AG91" s="420" t="s">
        <v>2097</v>
      </c>
      <c r="AH91" s="421" t="s">
        <v>1925</v>
      </c>
      <c r="AI91" s="2051" t="str">
        <f t="shared" si="28"/>
        <v>Anzahl der auf der IS arbeitenden Fachärzte Intensivmedizin, einschl. ärztlicher Leiter u. Stellvertr.</v>
      </c>
      <c r="AK91" s="2041"/>
    </row>
    <row r="92" spans="1:37" s="799" customFormat="1" ht="27" customHeight="1">
      <c r="A92" s="860" t="str">
        <f t="shared" ref="A92:A98" si="30">AF92</f>
        <v>Ärztliche(r) Leiter(in), FTE</v>
      </c>
      <c r="B92" s="861"/>
      <c r="C92" s="861"/>
      <c r="D92" s="861"/>
      <c r="E92" s="859" t="str">
        <f>AI$92</f>
        <v>Aktivität des Ärztlichen Leiters  (Klinik, Administration u. Ausbildung), exklusiv für Intensivsstation, ohne Aktivität auf anderen Abteilungen.</v>
      </c>
      <c r="F92" s="1197"/>
      <c r="G92" s="1198"/>
      <c r="H92" s="805"/>
      <c r="I92" s="1841" t="s">
        <v>788</v>
      </c>
      <c r="J92" s="805"/>
      <c r="K92" s="805"/>
      <c r="L92" s="805"/>
      <c r="M92" s="2041"/>
      <c r="O92" s="1927"/>
      <c r="P92" s="1935"/>
      <c r="Q92" s="881"/>
      <c r="S92" s="1067">
        <f t="shared" ref="S92:S98" si="31">B92</f>
        <v>0</v>
      </c>
      <c r="T92" s="1855">
        <f t="shared" ref="T92:U98" si="32">IF(COUNTBLANK(C92)=1,S92,C92)</f>
        <v>0</v>
      </c>
      <c r="U92" s="1856">
        <f t="shared" si="32"/>
        <v>0</v>
      </c>
      <c r="V92" s="873"/>
      <c r="W92" s="873"/>
      <c r="X92" s="873"/>
      <c r="Y92" s="873"/>
      <c r="Z92" s="926"/>
      <c r="AA92" s="873"/>
      <c r="AB92" s="873"/>
      <c r="AD92" s="257" t="s">
        <v>2032</v>
      </c>
      <c r="AE92" s="325" t="s">
        <v>2033</v>
      </c>
      <c r="AF92" s="364" t="str">
        <f t="shared" si="29"/>
        <v>Ärztliche(r) Leiter(in), FTE</v>
      </c>
      <c r="AG92" s="468" t="s">
        <v>1927</v>
      </c>
      <c r="AH92" s="469" t="s">
        <v>1926</v>
      </c>
      <c r="AI92" s="2049" t="str">
        <f t="shared" ref="AI92:AI98" si="33">IF(AG92=0,"",IF($A$1="D",AG92,AH92))</f>
        <v>Aktivität des Ärztlichen Leiters  (Klinik, Administration u. Ausbildung), exklusiv für Intensivsstation, ohne Aktivität auf anderen Abteilungen.</v>
      </c>
      <c r="AK92" s="2041"/>
    </row>
    <row r="93" spans="1:37" s="799" customFormat="1" ht="30" customHeight="1">
      <c r="A93" s="860" t="str">
        <f t="shared" ref="A93" si="34">AF93</f>
        <v>Zusätzliche Kaderärzte mit Facharzt IM (CA, LA),  FTE</v>
      </c>
      <c r="B93" s="861"/>
      <c r="C93" s="861"/>
      <c r="D93" s="969"/>
      <c r="E93" s="859" t="str">
        <f>AI93</f>
        <v>Bitte nur Anteil für Aktivität auf der Intensivsstation angeben (Klinik, Administration u. Ausbildung).
Einschliesslich stellvertretende Leitung (exklusive FTE des Leiters, s.o.)</v>
      </c>
      <c r="F93" s="1197"/>
      <c r="G93" s="1198"/>
      <c r="H93" s="805"/>
      <c r="I93" s="1841" t="s">
        <v>788</v>
      </c>
      <c r="J93" s="805"/>
      <c r="K93" s="805"/>
      <c r="L93" s="805"/>
      <c r="M93" s="2041"/>
      <c r="O93" s="1927"/>
      <c r="P93" s="1935"/>
      <c r="Q93" s="881"/>
      <c r="S93" s="1067">
        <f t="shared" si="31"/>
        <v>0</v>
      </c>
      <c r="T93" s="1855">
        <f t="shared" si="32"/>
        <v>0</v>
      </c>
      <c r="U93" s="1856">
        <f t="shared" si="32"/>
        <v>0</v>
      </c>
      <c r="V93" s="873"/>
      <c r="W93" s="873"/>
      <c r="X93" s="873"/>
      <c r="Y93" s="873"/>
      <c r="Z93" s="926"/>
      <c r="AA93" s="873"/>
      <c r="AB93" s="873"/>
      <c r="AD93" s="257" t="s">
        <v>2060</v>
      </c>
      <c r="AE93" s="325" t="s">
        <v>2061</v>
      </c>
      <c r="AF93" s="364" t="str">
        <f t="shared" ref="AF93" si="35">IF(AD93=0,"",IF($A$1="D",AD93,AE93))</f>
        <v>Zusätzliche Kaderärzte mit Facharzt IM (CA, LA),  FTE</v>
      </c>
      <c r="AG93" s="221" t="s">
        <v>2034</v>
      </c>
      <c r="AH93" s="347" t="s">
        <v>2035</v>
      </c>
      <c r="AI93" s="2049" t="str">
        <f t="shared" si="33"/>
        <v>Bitte nur Anteil für Aktivität auf der Intensivsstation angeben (Klinik, Administration u. Ausbildung).
Einschliesslich stellvertretende Leitung (exklusive FTE des Leiters, s.o.)</v>
      </c>
      <c r="AK93" s="2041"/>
    </row>
    <row r="94" spans="1:37" s="799" customFormat="1" ht="23" customHeight="1">
      <c r="A94" s="860" t="str">
        <f t="shared" ref="A94" si="36">AF94</f>
        <v>Oberärzte, Facharzt IM, FTE</v>
      </c>
      <c r="B94" s="861"/>
      <c r="C94" s="861"/>
      <c r="D94" s="969"/>
      <c r="E94" s="1845" t="s">
        <v>1922</v>
      </c>
      <c r="F94" s="1197"/>
      <c r="G94" s="1198"/>
      <c r="H94" s="805"/>
      <c r="I94" s="1841" t="s">
        <v>788</v>
      </c>
      <c r="J94" s="805"/>
      <c r="K94" s="805"/>
      <c r="L94" s="805"/>
      <c r="M94" s="2041"/>
      <c r="O94" s="1927"/>
      <c r="P94" s="1935"/>
      <c r="Q94" s="881"/>
      <c r="S94" s="1067">
        <f t="shared" si="31"/>
        <v>0</v>
      </c>
      <c r="T94" s="1855">
        <f t="shared" si="32"/>
        <v>0</v>
      </c>
      <c r="U94" s="1856">
        <f t="shared" si="32"/>
        <v>0</v>
      </c>
      <c r="V94" s="873"/>
      <c r="W94" s="873"/>
      <c r="X94" s="873"/>
      <c r="Y94" s="873"/>
      <c r="Z94" s="926"/>
      <c r="AA94" s="873"/>
      <c r="AB94" s="873"/>
      <c r="AD94" s="257" t="s">
        <v>1923</v>
      </c>
      <c r="AE94" s="325" t="s">
        <v>1924</v>
      </c>
      <c r="AF94" s="364" t="str">
        <f t="shared" ref="AF94" si="37">IF(AD94=0,"",IF($A$1="D",AD94,AE94))</f>
        <v>Oberärzte, Facharzt IM, FTE</v>
      </c>
      <c r="AG94" s="221"/>
      <c r="AH94" s="347"/>
      <c r="AI94" s="2049" t="str">
        <f t="shared" si="33"/>
        <v/>
      </c>
      <c r="AK94" s="2041"/>
    </row>
    <row r="95" spans="1:37" s="799" customFormat="1" ht="23" customHeight="1">
      <c r="A95" s="860" t="str">
        <f t="shared" ref="A95" si="38">AF95</f>
        <v>Zusätzliche Kaderärzte ohne Facharzt IM (CA/LA/OA),  FTE</v>
      </c>
      <c r="B95" s="861"/>
      <c r="C95" s="861"/>
      <c r="D95" s="969"/>
      <c r="E95" s="1845" t="s">
        <v>1922</v>
      </c>
      <c r="F95" s="1197"/>
      <c r="G95" s="1198"/>
      <c r="H95" s="805"/>
      <c r="I95" s="1841" t="s">
        <v>788</v>
      </c>
      <c r="J95" s="805"/>
      <c r="K95" s="805"/>
      <c r="L95" s="805"/>
      <c r="M95" s="2041"/>
      <c r="O95" s="1927"/>
      <c r="P95" s="1935"/>
      <c r="Q95" s="881"/>
      <c r="S95" s="1067">
        <f t="shared" si="31"/>
        <v>0</v>
      </c>
      <c r="T95" s="1855">
        <f t="shared" si="32"/>
        <v>0</v>
      </c>
      <c r="U95" s="1856">
        <f t="shared" si="32"/>
        <v>0</v>
      </c>
      <c r="V95" s="873"/>
      <c r="W95" s="873"/>
      <c r="X95" s="873"/>
      <c r="Y95" s="873"/>
      <c r="Z95" s="926"/>
      <c r="AA95" s="873"/>
      <c r="AB95" s="873"/>
      <c r="AD95" s="257" t="s">
        <v>2059</v>
      </c>
      <c r="AE95" s="325" t="s">
        <v>2062</v>
      </c>
      <c r="AF95" s="364" t="str">
        <f t="shared" ref="AF95" si="39">IF(AD95=0,"",IF($A$1="D",AD95,AE95))</f>
        <v>Zusätzliche Kaderärzte ohne Facharzt IM (CA/LA/OA),  FTE</v>
      </c>
      <c r="AG95" s="221"/>
      <c r="AH95" s="347"/>
      <c r="AI95" s="2049" t="str">
        <f t="shared" si="33"/>
        <v/>
      </c>
      <c r="AK95" s="2041"/>
    </row>
    <row r="96" spans="1:37" s="799" customFormat="1" ht="23" customHeight="1">
      <c r="A96" s="860" t="str">
        <f t="shared" ref="A96" si="40">AF96</f>
        <v>Assistenzärzte mit Facharzt IM, FTE</v>
      </c>
      <c r="B96" s="861"/>
      <c r="C96" s="861"/>
      <c r="D96" s="969"/>
      <c r="E96" s="1845" t="s">
        <v>1922</v>
      </c>
      <c r="F96" s="1197"/>
      <c r="G96" s="1198"/>
      <c r="H96" s="805"/>
      <c r="I96" s="1841" t="s">
        <v>788</v>
      </c>
      <c r="J96" s="805"/>
      <c r="K96" s="805"/>
      <c r="L96" s="805"/>
      <c r="M96" s="2041"/>
      <c r="O96" s="1927"/>
      <c r="P96" s="1935"/>
      <c r="Q96" s="881"/>
      <c r="S96" s="1067">
        <f t="shared" si="31"/>
        <v>0</v>
      </c>
      <c r="T96" s="1855">
        <f t="shared" si="32"/>
        <v>0</v>
      </c>
      <c r="U96" s="1856">
        <f t="shared" si="32"/>
        <v>0</v>
      </c>
      <c r="V96" s="873"/>
      <c r="W96" s="873"/>
      <c r="X96" s="873"/>
      <c r="Y96" s="873"/>
      <c r="Z96" s="926"/>
      <c r="AA96" s="873"/>
      <c r="AB96" s="873"/>
      <c r="AD96" s="257" t="s">
        <v>1930</v>
      </c>
      <c r="AE96" s="325" t="s">
        <v>1931</v>
      </c>
      <c r="AF96" s="364" t="str">
        <f t="shared" ref="AF96" si="41">IF(AD96=0,"",IF($A$1="D",AD96,AE96))</f>
        <v>Assistenzärzte mit Facharzt IM, FTE</v>
      </c>
      <c r="AG96" s="221"/>
      <c r="AH96" s="347"/>
      <c r="AI96" s="2049" t="str">
        <f t="shared" si="33"/>
        <v/>
      </c>
      <c r="AK96" s="2041"/>
    </row>
    <row r="97" spans="1:37" s="799" customFormat="1" ht="23" customHeight="1">
      <c r="A97" s="860" t="str">
        <f t="shared" si="30"/>
        <v>Ärzte in WB Intensivmedizin (FTE)</v>
      </c>
      <c r="B97" s="861"/>
      <c r="C97" s="861"/>
      <c r="D97" s="969"/>
      <c r="E97" s="859" t="str">
        <f>AI97</f>
        <v>Bitte Anzahl besetzte u. bewilligte Stellen (FTE) eingeben</v>
      </c>
      <c r="F97" s="1197"/>
      <c r="G97" s="1198"/>
      <c r="H97" s="805"/>
      <c r="I97" s="1841" t="s">
        <v>788</v>
      </c>
      <c r="J97" s="805"/>
      <c r="K97" s="805"/>
      <c r="L97" s="805"/>
      <c r="M97" s="2041"/>
      <c r="O97" s="1927"/>
      <c r="P97" s="1935"/>
      <c r="Q97" s="881"/>
      <c r="S97" s="1067">
        <f t="shared" si="31"/>
        <v>0</v>
      </c>
      <c r="T97" s="1855">
        <f t="shared" si="32"/>
        <v>0</v>
      </c>
      <c r="U97" s="1856">
        <f t="shared" si="32"/>
        <v>0</v>
      </c>
      <c r="V97" s="873"/>
      <c r="W97" s="873"/>
      <c r="X97" s="873"/>
      <c r="Y97" s="873"/>
      <c r="Z97" s="926"/>
      <c r="AA97" s="873"/>
      <c r="AB97" s="873"/>
      <c r="AD97" s="257" t="s">
        <v>1055</v>
      </c>
      <c r="AE97" s="325" t="s">
        <v>1343</v>
      </c>
      <c r="AF97" s="364" t="str">
        <f t="shared" si="29"/>
        <v>Ärzte in WB Intensivmedizin (FTE)</v>
      </c>
      <c r="AG97" s="420" t="s">
        <v>1054</v>
      </c>
      <c r="AH97" s="421" t="s">
        <v>1460</v>
      </c>
      <c r="AI97" s="2051" t="str">
        <f t="shared" si="33"/>
        <v>Bitte Anzahl besetzte u. bewilligte Stellen (FTE) eingeben</v>
      </c>
      <c r="AK97" s="2041"/>
    </row>
    <row r="98" spans="1:37" s="799" customFormat="1" ht="23" customHeight="1" thickBot="1">
      <c r="A98" s="860" t="str">
        <f t="shared" si="30"/>
        <v>Ärzte, übrige (einschl. Rotationsärzten; FTE)</v>
      </c>
      <c r="B98" s="861"/>
      <c r="C98" s="861"/>
      <c r="D98" s="969"/>
      <c r="E98" s="859" t="str">
        <f>AI97</f>
        <v>Bitte Anzahl besetzte u. bewilligte Stellen (FTE) eingeben</v>
      </c>
      <c r="F98" s="1197"/>
      <c r="G98" s="1198"/>
      <c r="H98" s="805"/>
      <c r="I98" s="1841" t="s">
        <v>788</v>
      </c>
      <c r="J98" s="805"/>
      <c r="K98" s="805"/>
      <c r="L98" s="805"/>
      <c r="M98" s="2041"/>
      <c r="O98" s="1927"/>
      <c r="P98" s="1935"/>
      <c r="Q98" s="881"/>
      <c r="S98" s="1078">
        <f t="shared" si="31"/>
        <v>0</v>
      </c>
      <c r="T98" s="1857">
        <f t="shared" si="32"/>
        <v>0</v>
      </c>
      <c r="U98" s="1858">
        <f t="shared" si="32"/>
        <v>0</v>
      </c>
      <c r="V98" s="873"/>
      <c r="W98" s="873"/>
      <c r="X98" s="873"/>
      <c r="Y98" s="873"/>
      <c r="Z98" s="926"/>
      <c r="AA98" s="873"/>
      <c r="AB98" s="873"/>
      <c r="AD98" s="257" t="s">
        <v>1056</v>
      </c>
      <c r="AE98" s="325" t="s">
        <v>1244</v>
      </c>
      <c r="AF98" s="364" t="str">
        <f t="shared" si="29"/>
        <v>Ärzte, übrige (einschl. Rotationsärzten; FTE)</v>
      </c>
      <c r="AG98" s="420"/>
      <c r="AH98" s="421"/>
      <c r="AI98" s="2051" t="str">
        <f t="shared" si="33"/>
        <v/>
      </c>
      <c r="AK98" s="2041"/>
    </row>
    <row r="99" spans="1:37" s="970" customFormat="1" ht="34" customHeight="1" thickBot="1">
      <c r="A99" s="795" t="str">
        <f>AF99</f>
        <v>Total, Ärzte (FTE)</v>
      </c>
      <c r="B99" s="1846">
        <f>SUM(B92:B98)</f>
        <v>0</v>
      </c>
      <c r="C99" s="1846">
        <f t="shared" ref="C99:D99" si="42">T99</f>
        <v>0</v>
      </c>
      <c r="D99" s="1846">
        <f t="shared" si="42"/>
        <v>0</v>
      </c>
      <c r="E99" s="1851"/>
      <c r="F99" s="1197"/>
      <c r="G99" s="1198"/>
      <c r="H99" s="798"/>
      <c r="I99" s="1841"/>
      <c r="J99" s="798"/>
      <c r="K99" s="798"/>
      <c r="L99" s="798"/>
      <c r="M99" s="2041"/>
      <c r="O99" s="1927"/>
      <c r="P99" s="1935"/>
      <c r="Q99" s="881"/>
      <c r="S99" s="1859">
        <f>SUM(S92:S98)</f>
        <v>0</v>
      </c>
      <c r="T99" s="1860">
        <f t="shared" ref="T99:U99" si="43">SUM(T92:T98)</f>
        <v>0</v>
      </c>
      <c r="U99" s="1861">
        <f t="shared" si="43"/>
        <v>0</v>
      </c>
      <c r="V99" s="926" t="s">
        <v>1966</v>
      </c>
      <c r="W99" s="926"/>
      <c r="X99" s="926"/>
      <c r="Y99" s="926"/>
      <c r="Z99" s="926"/>
      <c r="AA99" s="926"/>
      <c r="AB99" s="926"/>
      <c r="AD99" s="971" t="s">
        <v>1146</v>
      </c>
      <c r="AE99" s="972" t="s">
        <v>1250</v>
      </c>
      <c r="AF99" s="364" t="str">
        <f t="shared" si="29"/>
        <v>Total, Ärzte (FTE)</v>
      </c>
      <c r="AG99" s="420"/>
      <c r="AH99" s="421"/>
      <c r="AI99" s="2051"/>
      <c r="AK99" s="2041"/>
    </row>
    <row r="100" spans="1:37" s="970" customFormat="1" ht="23" customHeight="1" thickBot="1">
      <c r="A100" s="1848" t="str">
        <f>AF100</f>
        <v>Kaderärzte</v>
      </c>
      <c r="B100" s="1849">
        <f>B92+B93+B95</f>
        <v>0</v>
      </c>
      <c r="C100" s="1849">
        <f>T100</f>
        <v>0</v>
      </c>
      <c r="D100" s="1849">
        <f>U100</f>
        <v>0</v>
      </c>
      <c r="E100" s="859"/>
      <c r="F100" s="1208"/>
      <c r="G100" s="1209"/>
      <c r="H100" s="798"/>
      <c r="I100" s="1841"/>
      <c r="J100" s="798"/>
      <c r="K100" s="798"/>
      <c r="L100" s="798"/>
      <c r="M100" s="2041"/>
      <c r="O100" s="1927"/>
      <c r="P100" s="1935"/>
      <c r="Q100" s="881"/>
      <c r="S100" s="1847">
        <f>S92+S93+S95</f>
        <v>0</v>
      </c>
      <c r="T100" s="1862">
        <f t="shared" ref="T100:U100" si="44">T92+T93+T95</f>
        <v>0</v>
      </c>
      <c r="U100" s="1863">
        <f t="shared" si="44"/>
        <v>0</v>
      </c>
      <c r="V100" s="926" t="s">
        <v>1966</v>
      </c>
      <c r="W100" s="926"/>
      <c r="X100" s="926"/>
      <c r="Y100" s="926"/>
      <c r="Z100" s="926"/>
      <c r="AA100" s="926"/>
      <c r="AB100" s="926"/>
      <c r="AD100" s="257" t="s">
        <v>1960</v>
      </c>
      <c r="AE100" s="325" t="s">
        <v>1963</v>
      </c>
      <c r="AF100" s="364" t="str">
        <f>IF(AD100=0,"",IF($A$1="D",AD100,AE100))</f>
        <v>Kaderärzte</v>
      </c>
      <c r="AG100" s="973"/>
      <c r="AH100" s="974"/>
      <c r="AI100" s="2051"/>
      <c r="AK100" s="2041"/>
    </row>
    <row r="101" spans="1:37" s="970" customFormat="1" ht="39.75" customHeight="1" thickBot="1">
      <c r="A101" s="1854" t="s">
        <v>1965</v>
      </c>
      <c r="B101" s="861"/>
      <c r="C101" s="861"/>
      <c r="D101" s="969"/>
      <c r="E101" s="859" t="str">
        <f>AI101</f>
        <v>Aktivität des Kaders für die stellvertretende Leitung  (Klinik, Administration u. Ausbildung), exklusiv für Intensivstation, ohne Aktivität für andere Abteilungen. Diese Stelle ist oben bei den Kaderärzten miteinbegriffen.</v>
      </c>
      <c r="F101" s="1208"/>
      <c r="G101" s="1209"/>
      <c r="H101" s="798"/>
      <c r="I101" s="1840" t="s">
        <v>788</v>
      </c>
      <c r="J101" s="798"/>
      <c r="K101" s="798"/>
      <c r="L101" s="798"/>
      <c r="M101" s="2041"/>
      <c r="O101" s="1929"/>
      <c r="P101" s="1930"/>
      <c r="Q101" s="1920" t="s">
        <v>1969</v>
      </c>
      <c r="S101" s="1847">
        <f>B101</f>
        <v>0</v>
      </c>
      <c r="T101" s="1862">
        <f>IF(COUNTBLANK(C101)=1,S101,C101)</f>
        <v>0</v>
      </c>
      <c r="U101" s="1863">
        <f>IF(COUNTBLANK(D101)=1,T101,D101)</f>
        <v>0</v>
      </c>
      <c r="V101" s="926"/>
      <c r="W101" s="926"/>
      <c r="X101" s="926"/>
      <c r="Y101" s="926"/>
      <c r="Z101" s="926"/>
      <c r="AA101" s="926"/>
      <c r="AB101" s="926"/>
      <c r="AD101" s="257" t="s">
        <v>1960</v>
      </c>
      <c r="AE101" s="325" t="s">
        <v>1963</v>
      </c>
      <c r="AF101" s="364" t="str">
        <f>IF(AD101=0,"",IF($A$1="D",AD101,AE101))</f>
        <v>Kaderärzte</v>
      </c>
      <c r="AG101" s="468" t="s">
        <v>2089</v>
      </c>
      <c r="AH101" s="469" t="s">
        <v>2090</v>
      </c>
      <c r="AI101" s="2054" t="str">
        <f>IF(AG101=0,"",IF($A$1="D",AG101,AH101))</f>
        <v>Aktivität des Kaders für die stellvertretende Leitung  (Klinik, Administration u. Ausbildung), exklusiv für Intensivstation, ohne Aktivität für andere Abteilungen. Diese Stelle ist oben bei den Kaderärzten miteinbegriffen.</v>
      </c>
      <c r="AK101" s="2041"/>
    </row>
    <row r="102" spans="1:37" s="970" customFormat="1" ht="23" customHeight="1" thickBot="1">
      <c r="A102" s="1848" t="str">
        <f>AF102</f>
        <v>Fachärzte Intensivmedizin</v>
      </c>
      <c r="B102" s="1849">
        <f>B92+B93+B94+B96</f>
        <v>0</v>
      </c>
      <c r="C102" s="1849">
        <f>T102</f>
        <v>0</v>
      </c>
      <c r="D102" s="1849">
        <f>U102</f>
        <v>0</v>
      </c>
      <c r="E102" s="859"/>
      <c r="F102" s="1208"/>
      <c r="G102" s="1209"/>
      <c r="H102" s="798"/>
      <c r="I102" s="1841"/>
      <c r="J102" s="798"/>
      <c r="K102" s="798"/>
      <c r="L102" s="798"/>
      <c r="M102" s="2041"/>
      <c r="O102" s="1927"/>
      <c r="P102" s="1935"/>
      <c r="Q102" s="881"/>
      <c r="S102" s="1864">
        <f>S92+S93+S94+S96</f>
        <v>0</v>
      </c>
      <c r="T102" s="1865">
        <f>T92+T93+T94+T96</f>
        <v>0</v>
      </c>
      <c r="U102" s="1866">
        <f>U92+U93+U94+U96</f>
        <v>0</v>
      </c>
      <c r="V102" s="926" t="s">
        <v>1966</v>
      </c>
      <c r="W102" s="926"/>
      <c r="X102" s="926"/>
      <c r="Y102" s="926"/>
      <c r="Z102" s="926"/>
      <c r="AA102" s="926"/>
      <c r="AB102" s="926"/>
      <c r="AD102" s="257" t="s">
        <v>1961</v>
      </c>
      <c r="AE102" s="325" t="s">
        <v>1962</v>
      </c>
      <c r="AF102" s="364" t="str">
        <f>IF(AD102=0,"",IF($A$1="D",AD102,AE102))</f>
        <v>Fachärzte Intensivmedizin</v>
      </c>
      <c r="AG102" s="973"/>
      <c r="AH102" s="974"/>
      <c r="AI102" s="2051"/>
      <c r="AK102" s="2041"/>
    </row>
    <row r="103" spans="1:37" s="970" customFormat="1" ht="23" customHeight="1" thickBot="1">
      <c r="A103" s="1848" t="str">
        <f>AF103</f>
        <v>Ärztliche Leitung + Stellvertreter</v>
      </c>
      <c r="B103" s="1849">
        <f>B92+B101</f>
        <v>0</v>
      </c>
      <c r="C103" s="1849">
        <f>T103</f>
        <v>0</v>
      </c>
      <c r="D103" s="1849">
        <f>U103</f>
        <v>0</v>
      </c>
      <c r="E103" s="1851" t="str">
        <f>AI103</f>
        <v>FTE für ärztliche Leitung &amp; Stellvertr.:</v>
      </c>
      <c r="F103" s="1852" t="str">
        <f>IF(C103=0,"/",C103)</f>
        <v>/</v>
      </c>
      <c r="G103" s="1195" t="str">
        <f>"≥"&amp;S77</f>
        <v>≥0.8</v>
      </c>
      <c r="H103" s="798"/>
      <c r="I103" s="1841"/>
      <c r="J103" s="798"/>
      <c r="K103" s="798"/>
      <c r="L103" s="798"/>
      <c r="M103" s="2041"/>
      <c r="O103" s="1927"/>
      <c r="P103" s="1935"/>
      <c r="Q103" s="881"/>
      <c r="S103" s="1078">
        <f>S92+S101</f>
        <v>0</v>
      </c>
      <c r="T103" s="1857">
        <f t="shared" ref="T103:U103" si="45">T92+T101</f>
        <v>0</v>
      </c>
      <c r="U103" s="1858">
        <f t="shared" si="45"/>
        <v>0</v>
      </c>
      <c r="V103" s="926" t="s">
        <v>1966</v>
      </c>
      <c r="W103" s="926"/>
      <c r="X103" s="926"/>
      <c r="Y103" s="926"/>
      <c r="Z103" s="926"/>
      <c r="AA103" s="926"/>
      <c r="AB103" s="926"/>
      <c r="AD103" s="257" t="s">
        <v>1758</v>
      </c>
      <c r="AE103" s="325" t="s">
        <v>1964</v>
      </c>
      <c r="AF103" s="364" t="str">
        <f>IF(AD103=0,"",IF($A$1="D",AD103,AE103))</f>
        <v>Ärztliche Leitung + Stellvertreter</v>
      </c>
      <c r="AG103" s="221" t="s">
        <v>1937</v>
      </c>
      <c r="AH103" s="347" t="s">
        <v>1938</v>
      </c>
      <c r="AI103" s="2049" t="str">
        <f>IF(AG103=0,"",IF($A$1="D",AG103,AH103))</f>
        <v>FTE für ärztliche Leitung &amp; Stellvertr.:</v>
      </c>
      <c r="AK103" s="2041"/>
    </row>
    <row r="104" spans="1:37" ht="23" customHeight="1">
      <c r="A104" s="826"/>
      <c r="C104"/>
      <c r="D104" s="796"/>
      <c r="E104" s="830" t="str">
        <f>AI104</f>
        <v/>
      </c>
      <c r="F104" s="1197"/>
      <c r="G104" s="1198"/>
      <c r="AD104" s="321"/>
      <c r="AE104" s="322"/>
      <c r="AF104" s="362" t="str">
        <f t="shared" si="29"/>
        <v/>
      </c>
      <c r="AI104" s="2049" t="str">
        <f t="shared" ref="AI104:AI113" si="46">IF(AG104=0,"",IF($A$1="D",AG104,AH104))</f>
        <v/>
      </c>
    </row>
    <row r="105" spans="1:37" ht="81.75" customHeight="1">
      <c r="A105" s="834" t="str">
        <f>AF105</f>
        <v>Konsiliardienst im Spital</v>
      </c>
      <c r="B105" s="2355"/>
      <c r="C105" s="2355"/>
      <c r="D105" s="2355"/>
      <c r="E105" s="2350" t="str">
        <f>AI$105</f>
        <v>Bitte alle verfügbaren für die IS relevanten Dienste eingeben (mit Komma getrennt).
Z.B. Chirurgie allgemein, Viszeral, Herz- und Thoraxchirurgie, Urologie, Medizin, Kardiologie, Gynäkologie, Infektiologie etc.</v>
      </c>
      <c r="F105" s="1197"/>
      <c r="G105" s="1198"/>
      <c r="AD105" s="321" t="s">
        <v>1058</v>
      </c>
      <c r="AE105" s="322" t="s">
        <v>1245</v>
      </c>
      <c r="AF105" s="362" t="str">
        <f t="shared" si="29"/>
        <v>Konsiliardienst im Spital</v>
      </c>
      <c r="AG105" s="221" t="s">
        <v>2091</v>
      </c>
      <c r="AH105" s="347" t="s">
        <v>1461</v>
      </c>
      <c r="AI105" s="2049" t="str">
        <f t="shared" si="46"/>
        <v>Bitte alle verfügbaren für die IS relevanten Dienste eingeben (mit Komma getrennt).
Z.B. Chirurgie allgemein, Viszeral, Herz- und Thoraxchirurgie, Urologie, Medizin, Kardiologie, Gynäkologie, Infektiologie etc.</v>
      </c>
    </row>
    <row r="106" spans="1:37" ht="55.5" customHeight="1">
      <c r="A106" s="834" t="str">
        <f>AF106</f>
        <v>Konsiliardienst, extern</v>
      </c>
      <c r="B106" s="2355"/>
      <c r="C106" s="2355"/>
      <c r="D106" s="2355"/>
      <c r="E106" s="2350"/>
      <c r="F106" s="1197"/>
      <c r="G106" s="1198"/>
      <c r="AD106" s="321" t="s">
        <v>1059</v>
      </c>
      <c r="AE106" s="322" t="s">
        <v>1246</v>
      </c>
      <c r="AF106" s="362" t="str">
        <f t="shared" si="29"/>
        <v>Konsiliardienst, extern</v>
      </c>
      <c r="AI106" s="2049" t="str">
        <f t="shared" si="46"/>
        <v/>
      </c>
    </row>
    <row r="107" spans="1:37" ht="36" customHeight="1">
      <c r="A107" s="2354" t="str">
        <f t="shared" ref="A107" si="47">AF107</f>
        <v>Angaben zur Organisation des Pflegedienstes (gem. MDSi)</v>
      </c>
      <c r="B107" s="2354"/>
      <c r="E107" s="271" t="str">
        <f>AI107</f>
        <v>Bitte darauf achten, dass alle Angaben mit den MDSi-Strukturdaten übereinstimmen.</v>
      </c>
      <c r="F107" s="1197"/>
      <c r="G107" s="1198"/>
      <c r="AD107" s="321" t="s">
        <v>1844</v>
      </c>
      <c r="AE107" s="322" t="s">
        <v>1845</v>
      </c>
      <c r="AF107" s="362" t="str">
        <f t="shared" si="29"/>
        <v>Angaben zur Organisation des Pflegedienstes (gem. MDSi)</v>
      </c>
      <c r="AG107" s="221" t="s">
        <v>1851</v>
      </c>
      <c r="AH107" s="347" t="s">
        <v>1852</v>
      </c>
      <c r="AI107" s="2049" t="str">
        <f t="shared" si="46"/>
        <v>Bitte darauf achten, dass alle Angaben mit den MDSi-Strukturdaten übereinstimmen.</v>
      </c>
    </row>
    <row r="108" spans="1:37" ht="32" customHeight="1">
      <c r="A108" s="797" t="str">
        <f>AF108</f>
        <v>Leitung Pflege (Führungsverantwortung / Management)</v>
      </c>
      <c r="D108" s="796"/>
      <c r="F108" s="1197"/>
      <c r="G108" s="1198"/>
      <c r="O108" s="1926" t="s">
        <v>789</v>
      </c>
      <c r="AD108" s="321" t="s">
        <v>1585</v>
      </c>
      <c r="AE108" s="322" t="s">
        <v>1492</v>
      </c>
      <c r="AF108" s="362" t="str">
        <f t="shared" si="29"/>
        <v>Leitung Pflege (Führungsverantwortung / Management)</v>
      </c>
      <c r="AI108" s="2049" t="str">
        <f t="shared" si="46"/>
        <v/>
      </c>
    </row>
    <row r="109" spans="1:37" ht="23" customHeight="1">
      <c r="A109" s="826" t="str">
        <f>AF$79</f>
        <v>Name</v>
      </c>
      <c r="B109" s="2372"/>
      <c r="C109" s="2372"/>
      <c r="D109" s="796"/>
      <c r="F109" s="1197"/>
      <c r="G109" s="1198"/>
      <c r="I109" s="1840" t="s">
        <v>788</v>
      </c>
      <c r="O109" s="1926" t="s">
        <v>789</v>
      </c>
      <c r="AD109" s="321"/>
      <c r="AE109" s="322"/>
      <c r="AF109" s="362" t="str">
        <f t="shared" si="29"/>
        <v/>
      </c>
      <c r="AI109" s="2049" t="str">
        <f t="shared" si="46"/>
        <v/>
      </c>
    </row>
    <row r="110" spans="1:37" ht="33" customHeight="1">
      <c r="A110" s="826" t="str">
        <f>AF110</f>
        <v>Anstellungsgrad IP-für Führungsaufgaben / Management (%)</v>
      </c>
      <c r="B110" s="827"/>
      <c r="C110" s="796"/>
      <c r="D110" s="796"/>
      <c r="E110" s="830" t="str">
        <f>AI110</f>
        <v>Bitte nur Anteil für administrative Aktivität auf der Intensivsstation angeben (%). 
Der Anteil muss auch bei "Arbeit nicht am Bett" (s.u.) miteinbezogen werden.</v>
      </c>
      <c r="F110" s="1197"/>
      <c r="G110" s="1198"/>
      <c r="AD110" s="321" t="s">
        <v>1493</v>
      </c>
      <c r="AE110" s="322" t="s">
        <v>1494</v>
      </c>
      <c r="AF110" s="362" t="str">
        <f t="shared" si="29"/>
        <v>Anstellungsgrad IP-für Führungsaufgaben / Management (%)</v>
      </c>
      <c r="AG110" s="468" t="s">
        <v>1047</v>
      </c>
      <c r="AH110" s="469" t="s">
        <v>1290</v>
      </c>
      <c r="AI110" s="2049" t="str">
        <f t="shared" si="46"/>
        <v>Bitte nur Anteil für administrative Aktivität auf der Intensivsstation angeben (%). 
Der Anteil muss auch bei "Arbeit nicht am Bett" (s.u.) miteinbezogen werden.</v>
      </c>
    </row>
    <row r="111" spans="1:37" ht="33" customHeight="1">
      <c r="A111" s="826" t="str">
        <f>AF111</f>
        <v>Anstellungsgrad IP- für Pflege am Patientenbett (%)</v>
      </c>
      <c r="B111" s="827"/>
      <c r="C111" s="796"/>
      <c r="D111" s="796"/>
      <c r="E111" s="830" t="str">
        <f>AI111</f>
        <v>Bitte nur Anteil der Arbeit am Bett angeben (%).
Der Anteil muss auch bei "Arbeit am Bett" (s.u.) miteingegeben werden.</v>
      </c>
      <c r="F111" s="1197"/>
      <c r="G111" s="1198"/>
      <c r="AD111" s="321" t="s">
        <v>1495</v>
      </c>
      <c r="AE111" s="322" t="s">
        <v>1496</v>
      </c>
      <c r="AF111" s="362" t="str">
        <f t="shared" si="29"/>
        <v>Anstellungsgrad IP- für Pflege am Patientenbett (%)</v>
      </c>
      <c r="AG111" s="468" t="s">
        <v>1048</v>
      </c>
      <c r="AH111" s="469" t="s">
        <v>1291</v>
      </c>
      <c r="AI111" s="2049" t="str">
        <f t="shared" si="46"/>
        <v>Bitte nur Anteil der Arbeit am Bett angeben (%).
Der Anteil muss auch bei "Arbeit am Bett" (s.u.) miteingegeben werden.</v>
      </c>
    </row>
    <row r="112" spans="1:37" ht="42" customHeight="1">
      <c r="A112" s="826" t="str">
        <f>AF112</f>
        <v>Experte Intensivpflege NDS HF</v>
      </c>
      <c r="B112" s="509"/>
      <c r="C112" s="828" t="str">
        <f>AI77</f>
        <v>seit (Jahr):</v>
      </c>
      <c r="D112" s="829"/>
      <c r="E112" s="830" t="str">
        <f>AI112</f>
        <v xml:space="preserve">Ausnahmsweise kann der Vorstand des SGI eine IS anerkennen, deren Leiter nicht Träger des Diploms NDS HF ist, der jedoch über eine Zusatzausbildung IP-Ausland, mit SGI-Äquivalenz verfügt. </v>
      </c>
      <c r="F112" s="1197"/>
      <c r="G112" s="1198"/>
      <c r="AD112" s="321" t="s">
        <v>1497</v>
      </c>
      <c r="AE112" s="322" t="s">
        <v>1498</v>
      </c>
      <c r="AF112" s="362" t="str">
        <f t="shared" si="29"/>
        <v>Experte Intensivpflege NDS HF</v>
      </c>
      <c r="AG112" s="221" t="s">
        <v>1530</v>
      </c>
      <c r="AH112" s="347" t="s">
        <v>1531</v>
      </c>
      <c r="AI112" s="2049" t="str">
        <f t="shared" si="46"/>
        <v xml:space="preserve">Ausnahmsweise kann der Vorstand des SGI eine IS anerkennen, deren Leiter nicht Träger des Diploms NDS HF ist, der jedoch über eine Zusatzausbildung IP-Ausland, mit SGI-Äquivalenz verfügt. </v>
      </c>
    </row>
    <row r="113" spans="1:37" ht="23" customHeight="1">
      <c r="A113" s="826" t="str">
        <f>AF$81</f>
        <v>Anmerkung</v>
      </c>
      <c r="B113" s="2359"/>
      <c r="C113" s="2359"/>
      <c r="D113" s="2359"/>
      <c r="E113" s="271" t="str">
        <f>AI81</f>
        <v>Text (frei), falls Erklärung nötig</v>
      </c>
      <c r="F113" s="1197"/>
      <c r="G113" s="1198"/>
      <c r="AD113" s="321"/>
      <c r="AE113" s="322"/>
      <c r="AF113" s="362" t="str">
        <f t="shared" si="29"/>
        <v/>
      </c>
      <c r="AI113" s="2049" t="str">
        <f t="shared" si="46"/>
        <v/>
      </c>
    </row>
    <row r="114" spans="1:37" ht="23" customHeight="1">
      <c r="A114" s="826" t="str">
        <f>AF$82</f>
        <v>Mail</v>
      </c>
      <c r="B114" s="2358" t="s">
        <v>1919</v>
      </c>
      <c r="C114" s="2359"/>
      <c r="D114" s="2359"/>
      <c r="E114" s="271" t="str">
        <f>AI82</f>
        <v xml:space="preserve"> @ bitte offizielles Dienstmail angeben</v>
      </c>
      <c r="F114" s="1197"/>
      <c r="G114" s="1198"/>
      <c r="AD114" s="321"/>
      <c r="AE114" s="322"/>
      <c r="AF114" s="362"/>
      <c r="AI114" s="2049"/>
    </row>
    <row r="115" spans="1:37" ht="32" customHeight="1">
      <c r="A115" s="797" t="str">
        <f>AF115</f>
        <v>Leitung Pflege, Stellvertreter</v>
      </c>
      <c r="D115" s="796"/>
      <c r="F115" s="1197"/>
      <c r="G115" s="1198"/>
      <c r="O115" s="1926" t="s">
        <v>789</v>
      </c>
      <c r="AD115" s="321" t="s">
        <v>2133</v>
      </c>
      <c r="AE115" s="322" t="s">
        <v>2134</v>
      </c>
      <c r="AF115" s="362" t="str">
        <f t="shared" ref="AF115:AF116" si="48">IF(AD115=0,"",IF($A$1="D",AD115,AE115))</f>
        <v>Leitung Pflege, Stellvertreter</v>
      </c>
      <c r="AI115" s="2049" t="str">
        <f t="shared" ref="AI115:AI120" si="49">IF(AG115=0,"",IF($A$1="D",AG115,AH115))</f>
        <v/>
      </c>
    </row>
    <row r="116" spans="1:37" ht="23" customHeight="1">
      <c r="A116" s="826" t="str">
        <f>AF$79</f>
        <v>Name</v>
      </c>
      <c r="B116" s="2372"/>
      <c r="C116" s="2372"/>
      <c r="D116" s="796"/>
      <c r="F116" s="1197"/>
      <c r="G116" s="1198"/>
      <c r="I116" s="1840" t="s">
        <v>788</v>
      </c>
      <c r="O116" s="1926" t="s">
        <v>789</v>
      </c>
      <c r="AD116" s="321"/>
      <c r="AE116" s="322"/>
      <c r="AF116" s="362" t="str">
        <f t="shared" si="48"/>
        <v/>
      </c>
      <c r="AI116" s="2049" t="str">
        <f t="shared" si="49"/>
        <v/>
      </c>
    </row>
    <row r="117" spans="1:37" ht="33" customHeight="1">
      <c r="A117" s="826" t="str">
        <f>AF110</f>
        <v>Anstellungsgrad IP-für Führungsaufgaben / Management (%)</v>
      </c>
      <c r="B117" s="827"/>
      <c r="C117" s="796"/>
      <c r="D117" s="796"/>
      <c r="E117" s="830" t="str">
        <f>AI110</f>
        <v>Bitte nur Anteil für administrative Aktivität auf der Intensivsstation angeben (%). 
Der Anteil muss auch bei "Arbeit nicht am Bett" (s.u.) miteinbezogen werden.</v>
      </c>
      <c r="F117" s="1197"/>
      <c r="G117" s="1198"/>
      <c r="AD117" s="321"/>
      <c r="AE117" s="322"/>
      <c r="AF117" s="362"/>
      <c r="AG117" s="468"/>
      <c r="AH117" s="469"/>
      <c r="AI117" s="2049"/>
    </row>
    <row r="118" spans="1:37" ht="33" customHeight="1">
      <c r="A118" s="826" t="str">
        <f>AF111</f>
        <v>Anstellungsgrad IP- für Pflege am Patientenbett (%)</v>
      </c>
      <c r="B118" s="827"/>
      <c r="C118" s="796"/>
      <c r="D118" s="796"/>
      <c r="E118" s="830" t="str">
        <f>AI111</f>
        <v>Bitte nur Anteil der Arbeit am Bett angeben (%).
Der Anteil muss auch bei "Arbeit am Bett" (s.u.) miteingegeben werden.</v>
      </c>
      <c r="F118" s="1197"/>
      <c r="G118" s="1198"/>
      <c r="AD118" s="321"/>
      <c r="AE118" s="322"/>
      <c r="AF118" s="362"/>
      <c r="AG118" s="468"/>
      <c r="AH118" s="469"/>
      <c r="AI118" s="2049"/>
    </row>
    <row r="119" spans="1:37" ht="42" customHeight="1">
      <c r="A119" s="826" t="str">
        <f>AF112</f>
        <v>Experte Intensivpflege NDS HF</v>
      </c>
      <c r="B119" s="509"/>
      <c r="C119" s="828" t="str">
        <f>AI77</f>
        <v>seit (Jahr):</v>
      </c>
      <c r="D119" s="829"/>
      <c r="E119" s="830"/>
      <c r="F119" s="1197"/>
      <c r="G119" s="1198"/>
      <c r="AD119" s="321"/>
      <c r="AE119" s="322"/>
      <c r="AF119" s="362"/>
      <c r="AI119" s="2049"/>
    </row>
    <row r="120" spans="1:37" ht="23" customHeight="1">
      <c r="A120" s="826" t="str">
        <f>AF$81</f>
        <v>Anmerkung</v>
      </c>
      <c r="B120" s="2359"/>
      <c r="C120" s="2359"/>
      <c r="D120" s="2359"/>
      <c r="E120" s="271" t="str">
        <f>AI81</f>
        <v>Text (frei), falls Erklärung nötig</v>
      </c>
      <c r="F120" s="1197"/>
      <c r="G120" s="1198"/>
      <c r="AD120" s="321"/>
      <c r="AE120" s="322"/>
      <c r="AF120" s="362" t="str">
        <f t="shared" ref="AF120" si="50">IF(AD120=0,"",IF($A$1="D",AD120,AE120))</f>
        <v/>
      </c>
      <c r="AI120" s="2049" t="str">
        <f t="shared" si="49"/>
        <v/>
      </c>
    </row>
    <row r="121" spans="1:37" ht="16" customHeight="1">
      <c r="F121" s="1197"/>
      <c r="G121" s="1198"/>
      <c r="AD121" s="400"/>
      <c r="AE121" s="401"/>
      <c r="AF121" s="362" t="str">
        <f t="shared" si="29"/>
        <v/>
      </c>
    </row>
    <row r="122" spans="1:37" s="510" customFormat="1" ht="60" customHeight="1">
      <c r="A122" s="794" t="str">
        <f>AF122</f>
        <v>Pflegestellen</v>
      </c>
      <c r="B122" s="783" t="str">
        <f>AI$122</f>
        <v>Durschnitt an Stellen,
letztes abgeschlossenes Kalenderjahr 
(gem. MDSi)</v>
      </c>
      <c r="C122" s="2371" t="str">
        <f>AI$123</f>
        <v>Stand zum Zeitpunkt des Antrags
(nur falls abweichend vom letzten Kalenderjahr)</v>
      </c>
      <c r="D122" s="2371"/>
      <c r="E122" s="831" t="str">
        <f>AI127</f>
        <v>Durchschnitt des letzten Kalenderjahrs:  identisch mit MDSi-Strukturdaten 
Daten, die sich nicht geändert haben, brauchen nur einmal eingegeben zu werden (Spalte B).</v>
      </c>
      <c r="F122" s="1197"/>
      <c r="G122" s="1198"/>
      <c r="H122" s="780"/>
      <c r="I122" s="1839"/>
      <c r="J122" s="780"/>
      <c r="K122" s="780"/>
      <c r="L122" s="780"/>
      <c r="M122" s="2041"/>
      <c r="O122" s="1925"/>
      <c r="P122" s="1934"/>
      <c r="Q122" s="1917"/>
      <c r="S122" s="871"/>
      <c r="T122" s="871"/>
      <c r="U122" s="885"/>
      <c r="V122" s="871"/>
      <c r="W122" s="871"/>
      <c r="X122" s="871"/>
      <c r="Y122" s="871"/>
      <c r="Z122" s="924"/>
      <c r="AA122" s="871"/>
      <c r="AB122" s="871"/>
      <c r="AD122" s="258" t="s">
        <v>1043</v>
      </c>
      <c r="AE122" s="781" t="s">
        <v>1499</v>
      </c>
      <c r="AF122" s="476" t="str">
        <f t="shared" si="29"/>
        <v>Pflegestellen</v>
      </c>
      <c r="AG122" s="258" t="s">
        <v>1849</v>
      </c>
      <c r="AH122" s="781" t="s">
        <v>1850</v>
      </c>
      <c r="AI122" s="2053" t="str">
        <f t="shared" ref="AI122:AI131" si="51">IF(AG122=0,"",IF($A$1="D",AG122,AH122))</f>
        <v>Durschnitt an Stellen,
letztes abgeschlossenes Kalenderjahr 
(gem. MDSi)</v>
      </c>
      <c r="AK122" s="2041"/>
    </row>
    <row r="123" spans="1:37" s="799" customFormat="1" ht="29" customHeight="1">
      <c r="A123" s="815" t="str">
        <f>AF123</f>
        <v>Arbeitszeit</v>
      </c>
      <c r="B123" s="816">
        <f>YEAR(B$10)-1</f>
        <v>1899</v>
      </c>
      <c r="C123" s="986">
        <f>B$10</f>
        <v>0</v>
      </c>
      <c r="D123" s="817"/>
      <c r="E123" s="802"/>
      <c r="F123" s="1197"/>
      <c r="G123" s="1197"/>
      <c r="H123" s="805"/>
      <c r="I123" s="1841"/>
      <c r="J123" s="805"/>
      <c r="K123" s="805"/>
      <c r="L123" s="805"/>
      <c r="M123" s="2041"/>
      <c r="O123" s="1927"/>
      <c r="P123" s="1935"/>
      <c r="Q123" s="881"/>
      <c r="S123" s="1079" t="s">
        <v>1144</v>
      </c>
      <c r="T123" s="910"/>
      <c r="U123" s="874"/>
      <c r="V123" s="873"/>
      <c r="W123" s="873"/>
      <c r="X123" s="873"/>
      <c r="Y123" s="873"/>
      <c r="Z123" s="926"/>
      <c r="AA123" s="873"/>
      <c r="AB123" s="873"/>
      <c r="AD123" s="420" t="s">
        <v>1031</v>
      </c>
      <c r="AE123" s="421" t="s">
        <v>1032</v>
      </c>
      <c r="AF123" s="364" t="str">
        <f t="shared" si="29"/>
        <v>Arbeitszeit</v>
      </c>
      <c r="AG123" s="803" t="s">
        <v>1532</v>
      </c>
      <c r="AH123" s="804" t="s">
        <v>1533</v>
      </c>
      <c r="AI123" s="2051" t="str">
        <f t="shared" si="51"/>
        <v>Stand zum Zeitpunkt des Antrags
(nur falls abweichend vom letzten Kalenderjahr)</v>
      </c>
      <c r="AK123" s="2041"/>
    </row>
    <row r="124" spans="1:37" s="799" customFormat="1" ht="40.5" customHeight="1">
      <c r="A124" s="889" t="str">
        <f t="shared" ref="A124:A132" si="52">AF124</f>
        <v>Arbeitstage pro FTE pro Jahr</v>
      </c>
      <c r="B124" s="890"/>
      <c r="C124" s="891"/>
      <c r="D124" s="892"/>
      <c r="E124" s="1192" t="str">
        <f>AI124</f>
        <v>Arbeitstage pro Jahr pro FTE  (Angabe normalerweise beim Personaldienst erhältlich):  365 Tage minus Wochend-und Feiertage, Ferien, Weiterbildung, Krankheit und Unfall. Schweizer Schnitt: ca. 200-210 Tage. 
Falls der reale Wert höher ist, bitte 210 eingeben und Kommentar eingeben.</v>
      </c>
      <c r="F124" s="1199"/>
      <c r="G124" s="1200"/>
      <c r="H124" s="805"/>
      <c r="I124" s="1841" t="s">
        <v>788</v>
      </c>
      <c r="J124" s="805"/>
      <c r="K124" s="805"/>
      <c r="L124" s="805"/>
      <c r="M124" s="2041"/>
      <c r="O124" s="1927"/>
      <c r="P124" s="1935"/>
      <c r="Q124" s="881"/>
      <c r="S124" s="1080">
        <f>IF(COUNTBLANK(C124)=1,B124,C124)</f>
        <v>0</v>
      </c>
      <c r="T124" s="910"/>
      <c r="U124" s="874"/>
      <c r="V124" s="873"/>
      <c r="W124" s="873"/>
      <c r="X124" s="873"/>
      <c r="Y124" s="873"/>
      <c r="Z124" s="926"/>
      <c r="AA124" s="873"/>
      <c r="AB124" s="873"/>
      <c r="AD124" s="848" t="s">
        <v>1935</v>
      </c>
      <c r="AE124" s="849" t="s">
        <v>1936</v>
      </c>
      <c r="AF124" s="364" t="str">
        <f t="shared" si="29"/>
        <v>Arbeitstage pro FTE pro Jahr</v>
      </c>
      <c r="AG124" s="848" t="s">
        <v>2163</v>
      </c>
      <c r="AH124" s="849" t="s">
        <v>2162</v>
      </c>
      <c r="AI124" s="2051" t="str">
        <f t="shared" si="51"/>
        <v>Arbeitstage pro Jahr pro FTE  (Angabe normalerweise beim Personaldienst erhältlich):  365 Tage minus Wochend-und Feiertage, Ferien, Weiterbildung, Krankheit und Unfall. Schweizer Schnitt: ca. 200-210 Tage. 
Falls der reale Wert höher ist, bitte 210 eingeben und Kommentar eingeben.</v>
      </c>
      <c r="AK124" s="2041"/>
    </row>
    <row r="125" spans="1:37" s="799" customFormat="1" ht="40.5" customHeight="1">
      <c r="A125" s="1981" t="str">
        <f>AF125</f>
        <v>Kommentar zu Anzahl Arbeitstagen pro Jahr</v>
      </c>
      <c r="B125" s="2377"/>
      <c r="C125" s="2377"/>
      <c r="D125" s="892"/>
      <c r="E125" s="1192"/>
      <c r="F125" s="1199"/>
      <c r="G125" s="1200"/>
      <c r="H125" s="805"/>
      <c r="I125" s="1841"/>
      <c r="J125" s="805"/>
      <c r="K125" s="805"/>
      <c r="L125" s="805"/>
      <c r="M125" s="2041"/>
      <c r="O125" s="1927"/>
      <c r="P125" s="1935"/>
      <c r="Q125" s="881"/>
      <c r="S125" s="1080"/>
      <c r="T125" s="910"/>
      <c r="U125" s="874"/>
      <c r="V125" s="873"/>
      <c r="W125" s="873"/>
      <c r="X125" s="873"/>
      <c r="Y125" s="873"/>
      <c r="Z125" s="926"/>
      <c r="AA125" s="873"/>
      <c r="AB125" s="873"/>
      <c r="AD125" s="848" t="s">
        <v>2160</v>
      </c>
      <c r="AE125" s="849" t="s">
        <v>2161</v>
      </c>
      <c r="AF125" s="364" t="str">
        <f t="shared" si="29"/>
        <v>Kommentar zu Anzahl Arbeitstagen pro Jahr</v>
      </c>
      <c r="AG125" s="848"/>
      <c r="AH125" s="849"/>
      <c r="AI125" s="2051"/>
      <c r="AK125" s="2041"/>
    </row>
    <row r="126" spans="1:37" ht="23" customHeight="1">
      <c r="A126" s="889" t="str">
        <f t="shared" si="52"/>
        <v>Arbeitszeit pro Tag</v>
      </c>
      <c r="B126" s="819"/>
      <c r="C126" s="819"/>
      <c r="D126" s="818"/>
      <c r="E126" s="271" t="str">
        <f>AI126</f>
        <v>Anzahl Stunden pro Tag pro FTE (=Wochenarbeitszeit /5;  Format hh:mm)</v>
      </c>
      <c r="F126" s="1197"/>
      <c r="G126" s="1198"/>
      <c r="I126" s="1841" t="s">
        <v>788</v>
      </c>
      <c r="Q126" s="1918" t="s">
        <v>1940</v>
      </c>
      <c r="S126" s="1742">
        <f>IF(COUNTBLANK(C126)=1,B126,C126)</f>
        <v>0</v>
      </c>
      <c r="T126" s="897"/>
      <c r="AD126" s="848" t="s">
        <v>1865</v>
      </c>
      <c r="AE126" s="401" t="s">
        <v>1866</v>
      </c>
      <c r="AF126" s="362" t="str">
        <f t="shared" si="29"/>
        <v>Arbeitszeit pro Tag</v>
      </c>
      <c r="AG126" s="400" t="s">
        <v>1987</v>
      </c>
      <c r="AH126" s="401" t="s">
        <v>1988</v>
      </c>
      <c r="AI126" s="2049" t="str">
        <f t="shared" si="51"/>
        <v>Anzahl Stunden pro Tag pro FTE (=Wochenarbeitszeit /5;  Format hh:mm)</v>
      </c>
    </row>
    <row r="127" spans="1:37" ht="23" customHeight="1">
      <c r="A127" s="1740" t="str">
        <f>AF127</f>
        <v>Arbeitsstunden pro Jahr</v>
      </c>
      <c r="B127" s="888">
        <f>B124*B126*24</f>
        <v>0</v>
      </c>
      <c r="C127" s="888">
        <f>IF(COUNTBLANK(C124:C126)=2,"",S127)</f>
        <v>0</v>
      </c>
      <c r="D127" s="820"/>
      <c r="E127" s="832"/>
      <c r="F127" s="1210"/>
      <c r="G127" s="1211"/>
      <c r="H127" s="806"/>
      <c r="I127" s="1842"/>
      <c r="J127" s="806"/>
      <c r="K127" s="806"/>
      <c r="L127" s="806"/>
      <c r="O127" s="1931"/>
      <c r="P127" s="1937"/>
      <c r="Q127" s="1921"/>
      <c r="S127" s="1080">
        <f>S124*S126*24</f>
        <v>0</v>
      </c>
      <c r="T127" s="897"/>
      <c r="AD127" s="400" t="s">
        <v>1126</v>
      </c>
      <c r="AE127" s="401" t="s">
        <v>1247</v>
      </c>
      <c r="AF127" s="362" t="str">
        <f t="shared" si="29"/>
        <v>Arbeitsstunden pro Jahr</v>
      </c>
      <c r="AG127" s="400" t="s">
        <v>1853</v>
      </c>
      <c r="AH127" s="401" t="s">
        <v>1854</v>
      </c>
      <c r="AI127" s="2049" t="str">
        <f t="shared" si="51"/>
        <v>Durchschnitt des letzten Kalenderjahrs:  identisch mit MDSi-Strukturdaten 
Daten, die sich nicht geändert haben, brauchen nur einmal eingegeben zu werden (Spalte B).</v>
      </c>
    </row>
    <row r="128" spans="1:37" ht="23" customHeight="1">
      <c r="A128" s="811" t="str">
        <f t="shared" si="52"/>
        <v>Anzahl Schichten</v>
      </c>
      <c r="B128" s="893"/>
      <c r="C128" s="1019"/>
      <c r="D128" s="818"/>
      <c r="E128" s="271" t="str">
        <f>AI128</f>
        <v>n /24h</v>
      </c>
      <c r="F128" s="1197"/>
      <c r="G128" s="1198"/>
      <c r="S128" s="1080">
        <f>IF(COUNTBLANK(C128)=1,B128,C128)</f>
        <v>0</v>
      </c>
      <c r="T128" s="897"/>
      <c r="AD128" s="221" t="s">
        <v>873</v>
      </c>
      <c r="AE128" s="347" t="s">
        <v>875</v>
      </c>
      <c r="AF128" s="362" t="str">
        <f t="shared" si="29"/>
        <v>Anzahl Schichten</v>
      </c>
      <c r="AG128" s="221" t="s">
        <v>874</v>
      </c>
      <c r="AH128" s="347" t="s">
        <v>874</v>
      </c>
      <c r="AI128" s="2049" t="str">
        <f t="shared" si="51"/>
        <v>n /24h</v>
      </c>
    </row>
    <row r="129" spans="1:37" ht="48.75" customHeight="1">
      <c r="A129" s="889" t="str">
        <f t="shared" si="52"/>
        <v>Zusatz für Schichtwechsel  pro Tag</v>
      </c>
      <c r="B129" s="1743"/>
      <c r="C129" s="1744"/>
      <c r="D129" s="892"/>
      <c r="E129" s="805" t="str">
        <f>AI129</f>
        <v>Überlappungszeit für Schichtwechsel (Format hh:mm)
Falls unterschiedlich an manchen Tagen (z.B. Wochenende): Bitte Durchschnitt pro Tag eingeben (wöchentliche Gesamtüberlappung /7)</v>
      </c>
      <c r="F129" s="1197"/>
      <c r="G129" s="1198"/>
      <c r="I129" s="1841" t="s">
        <v>788</v>
      </c>
      <c r="Q129" s="1918" t="s">
        <v>1949</v>
      </c>
      <c r="S129" s="1081">
        <f>IF(COUNTBLANK(C129)=1,B129,C129)</f>
        <v>0</v>
      </c>
      <c r="T129" s="897"/>
      <c r="AD129" s="400" t="s">
        <v>1871</v>
      </c>
      <c r="AE129" s="401" t="s">
        <v>1872</v>
      </c>
      <c r="AF129" s="362" t="str">
        <f t="shared" si="29"/>
        <v>Zusatz für Schichtwechsel  pro Tag</v>
      </c>
      <c r="AG129" s="400" t="s">
        <v>1878</v>
      </c>
      <c r="AH129" s="401" t="s">
        <v>1877</v>
      </c>
      <c r="AI129" s="2055" t="str">
        <f t="shared" si="51"/>
        <v>Überlappungszeit für Schichtwechsel (Format hh:mm)
Falls unterschiedlich an manchen Tagen (z.B. Wochenende): Bitte Durchschnitt pro Tag eingeben (wöchentliche Gesamtüberlappung /7)</v>
      </c>
    </row>
    <row r="130" spans="1:37" ht="23" customHeight="1">
      <c r="A130" s="1825" t="str">
        <f t="shared" si="52"/>
        <v>Durchschnittliche Überlappungszeit pro Schicht</v>
      </c>
      <c r="B130" s="1745" t="e">
        <f>B129/B128</f>
        <v>#DIV/0!</v>
      </c>
      <c r="C130" s="1745" t="str">
        <f>IF(COUNTBLANK(C128:C129)=2,"",S130)</f>
        <v/>
      </c>
      <c r="D130" s="1746"/>
      <c r="E130" s="1739" t="str">
        <f>AI130</f>
        <v>Wert dient zur Kontrolle der eingegebenen Werte. Falls inkorrrekt, bitte Daten überprüfen.</v>
      </c>
      <c r="F130" s="1197"/>
      <c r="G130" s="1198"/>
      <c r="S130" s="1081" t="e">
        <f>S129/S128</f>
        <v>#DIV/0!</v>
      </c>
      <c r="T130" s="897"/>
      <c r="AD130" s="400" t="s">
        <v>1880</v>
      </c>
      <c r="AE130" s="401" t="s">
        <v>1879</v>
      </c>
      <c r="AF130" s="362" t="str">
        <f t="shared" si="29"/>
        <v>Durchschnittliche Überlappungszeit pro Schicht</v>
      </c>
      <c r="AG130" s="400" t="s">
        <v>1881</v>
      </c>
      <c r="AH130" s="401" t="s">
        <v>1882</v>
      </c>
      <c r="AI130" s="2055" t="str">
        <f t="shared" si="51"/>
        <v>Wert dient zur Kontrolle der eingegebenen Werte. Falls inkorrrekt, bitte Daten überprüfen.</v>
      </c>
    </row>
    <row r="131" spans="1:37" ht="23" customHeight="1">
      <c r="A131" s="811" t="str">
        <f t="shared" si="52"/>
        <v>Zeitkompensation pro Spät-Nachtschicht (h)</v>
      </c>
      <c r="B131" s="819"/>
      <c r="C131" s="1020"/>
      <c r="D131" s="818"/>
      <c r="E131" s="163" t="str">
        <f>AI131</f>
        <v>Zusätzlich anzurechnende Zeit pro Nachtschicht (Format hh:mm)</v>
      </c>
      <c r="F131" s="1197"/>
      <c r="G131" s="1198"/>
      <c r="I131" s="1840" t="s">
        <v>788</v>
      </c>
      <c r="Q131" s="1918" t="s">
        <v>1940</v>
      </c>
      <c r="S131" s="1081">
        <f>IF(COUNTBLANK(C131)=1,B131,C131)</f>
        <v>0</v>
      </c>
      <c r="T131" s="897"/>
      <c r="AD131" s="400" t="s">
        <v>1870</v>
      </c>
      <c r="AE131" s="401" t="s">
        <v>899</v>
      </c>
      <c r="AF131" s="362" t="str">
        <f t="shared" si="29"/>
        <v>Zeitkompensation pro Spät-Nachtschicht (h)</v>
      </c>
      <c r="AG131" s="400" t="s">
        <v>1534</v>
      </c>
      <c r="AH131" s="401" t="s">
        <v>1535</v>
      </c>
      <c r="AI131" s="2049" t="str">
        <f t="shared" si="51"/>
        <v>Zusätzlich anzurechnende Zeit pro Nachtschicht (Format hh:mm)</v>
      </c>
    </row>
    <row r="132" spans="1:37" ht="23" customHeight="1" thickBot="1">
      <c r="A132" s="1740" t="str">
        <f t="shared" si="52"/>
        <v>Stundenbedarf für eine 24h-Präsenz</v>
      </c>
      <c r="B132" s="1838">
        <f>(B129+B131)*24+24</f>
        <v>24</v>
      </c>
      <c r="C132" s="1747" t="str">
        <f>IF(COUNTBLANK(C131)=1,"",S132)</f>
        <v/>
      </c>
      <c r="D132" s="820"/>
      <c r="E132" s="832"/>
      <c r="F132" s="1210"/>
      <c r="G132" s="1211"/>
      <c r="H132" s="806"/>
      <c r="I132" s="1842"/>
      <c r="J132" s="806"/>
      <c r="K132" s="806"/>
      <c r="L132" s="806"/>
      <c r="O132" s="1931"/>
      <c r="P132" s="1937"/>
      <c r="Q132" s="1921"/>
      <c r="S132" s="1082">
        <f>(S129+S131)*24+24</f>
        <v>24</v>
      </c>
      <c r="T132" s="897"/>
      <c r="AD132" s="400" t="s">
        <v>900</v>
      </c>
      <c r="AE132" s="401" t="s">
        <v>1791</v>
      </c>
      <c r="AF132" s="362" t="str">
        <f t="shared" si="29"/>
        <v>Stundenbedarf für eine 24h-Präsenz</v>
      </c>
      <c r="AG132" s="400"/>
      <c r="AH132" s="401"/>
      <c r="AI132" s="2049"/>
    </row>
    <row r="133" spans="1:37" ht="36" customHeight="1">
      <c r="A133" s="824" t="str">
        <f>AF134</f>
        <v>Pflegestellen, nicht direkt am Patientenbett tätig (FTE)</v>
      </c>
      <c r="B133" s="2375" t="str">
        <f>AF$133</f>
        <v>Besetzte Stellen laut MDSi</v>
      </c>
      <c r="C133" s="2375"/>
      <c r="D133" s="1028" t="str">
        <f>AI$133</f>
        <v>Bewilligte  Stellen</v>
      </c>
      <c r="E133" s="800"/>
      <c r="F133" s="1197"/>
      <c r="G133" s="1197"/>
      <c r="S133" s="1074"/>
      <c r="T133" s="1075" t="s">
        <v>1148</v>
      </c>
      <c r="U133" s="1076" t="s">
        <v>1150</v>
      </c>
      <c r="AD133" s="221" t="s">
        <v>1029</v>
      </c>
      <c r="AE133" s="347" t="s">
        <v>1030</v>
      </c>
      <c r="AF133" s="362" t="str">
        <f t="shared" si="29"/>
        <v>Besetzte Stellen laut MDSi</v>
      </c>
      <c r="AG133" s="400" t="s">
        <v>1033</v>
      </c>
      <c r="AH133" s="401" t="s">
        <v>1536</v>
      </c>
      <c r="AI133" s="2049" t="str">
        <f t="shared" ref="AI133:AI157" si="53">IF(AG133=0,"",IF($A$1="D",AG133,AH133))</f>
        <v>Bewilligte  Stellen</v>
      </c>
    </row>
    <row r="134" spans="1:37" s="799" customFormat="1" ht="12.75" customHeight="1">
      <c r="A134" s="824"/>
      <c r="B134" s="825">
        <f>YEAR(B$10)-1</f>
        <v>1899</v>
      </c>
      <c r="C134" s="1021">
        <f>B$10</f>
        <v>0</v>
      </c>
      <c r="D134" s="1021">
        <f>B$10</f>
        <v>0</v>
      </c>
      <c r="E134" s="798"/>
      <c r="F134" s="1212"/>
      <c r="G134" s="1213"/>
      <c r="H134" s="805"/>
      <c r="I134" s="1841"/>
      <c r="J134" s="805"/>
      <c r="K134" s="805"/>
      <c r="L134" s="805"/>
      <c r="M134" s="2041"/>
      <c r="O134" s="1927"/>
      <c r="P134" s="1935"/>
      <c r="Q134" s="881"/>
      <c r="S134" s="1063">
        <f>B134</f>
        <v>1899</v>
      </c>
      <c r="T134" s="1072">
        <f>C134</f>
        <v>0</v>
      </c>
      <c r="U134" s="1064">
        <f>D134</f>
        <v>0</v>
      </c>
      <c r="V134" s="878"/>
      <c r="W134" s="878"/>
      <c r="X134" s="1006" t="s">
        <v>1108</v>
      </c>
      <c r="Y134" s="1007" t="s">
        <v>1111</v>
      </c>
      <c r="Z134" s="1008" t="s">
        <v>1110</v>
      </c>
      <c r="AA134" s="878"/>
      <c r="AB134" s="878"/>
      <c r="AD134" s="221" t="s">
        <v>1500</v>
      </c>
      <c r="AE134" s="347" t="s">
        <v>1501</v>
      </c>
      <c r="AF134" s="362" t="str">
        <f t="shared" si="29"/>
        <v>Pflegestellen, nicht direkt am Patientenbett tätig (FTE)</v>
      </c>
      <c r="AG134" s="420"/>
      <c r="AH134" s="421"/>
      <c r="AI134" s="2051" t="str">
        <f t="shared" si="53"/>
        <v/>
      </c>
      <c r="AK134" s="2041"/>
    </row>
    <row r="135" spans="1:37" s="799" customFormat="1" ht="40" customHeight="1">
      <c r="A135" s="945" t="str">
        <f t="shared" ref="A135:A138" si="54">AF135</f>
        <v>Führungsverantwortliche / Management</v>
      </c>
      <c r="B135" s="1218"/>
      <c r="C135" s="1219"/>
      <c r="D135" s="1220"/>
      <c r="E135" s="798" t="str">
        <f>AI$135</f>
        <v>FTE in dieser Funktion (ohne Tätigkeit am Patientenbett).
Inklusive der oben eingegebenen Stellen für Leitung und Stellvertretung.</v>
      </c>
      <c r="F135" s="1201">
        <f>IF(C135=0,B135,C135)</f>
        <v>0</v>
      </c>
      <c r="G135" s="1206" t="str">
        <f>"≥"&amp;X135</f>
        <v>≥0.2</v>
      </c>
      <c r="H135" s="805"/>
      <c r="I135" s="1841" t="s">
        <v>788</v>
      </c>
      <c r="J135" s="805"/>
      <c r="K135" s="805"/>
      <c r="L135" s="805"/>
      <c r="M135" s="2041"/>
      <c r="O135" s="1927"/>
      <c r="P135" s="1935"/>
      <c r="Q135" s="881"/>
      <c r="S135" s="1067">
        <f>B135</f>
        <v>0</v>
      </c>
      <c r="T135" s="910">
        <f t="shared" ref="T135:U138" si="55">IF(COUNTBLANK(C135)=1,B135,C135)</f>
        <v>0</v>
      </c>
      <c r="U135" s="1066">
        <f t="shared" si="55"/>
        <v>0</v>
      </c>
      <c r="V135" s="946"/>
      <c r="W135" s="946"/>
      <c r="X135" s="1009">
        <f>0.8+($B$22-6)*0.1</f>
        <v>0.19999999999999996</v>
      </c>
      <c r="Y135" s="1010">
        <f>T135</f>
        <v>0</v>
      </c>
      <c r="Z135" s="1011">
        <f>Y135/X135</f>
        <v>0</v>
      </c>
      <c r="AA135" s="946"/>
      <c r="AB135" s="946"/>
      <c r="AD135" s="420" t="s">
        <v>1036</v>
      </c>
      <c r="AE135" s="421" t="s">
        <v>1248</v>
      </c>
      <c r="AF135" s="364" t="str">
        <f t="shared" si="29"/>
        <v>Führungsverantwortliche / Management</v>
      </c>
      <c r="AG135" s="420" t="s">
        <v>2136</v>
      </c>
      <c r="AH135" s="421" t="s">
        <v>2137</v>
      </c>
      <c r="AI135" s="2051" t="str">
        <f t="shared" si="53"/>
        <v>FTE in dieser Funktion (ohne Tätigkeit am Patientenbett).
Inklusive der oben eingegebenen Stellen für Leitung und Stellvertretung.</v>
      </c>
      <c r="AK135" s="2041"/>
    </row>
    <row r="136" spans="1:37" s="799" customFormat="1" ht="36" customHeight="1">
      <c r="A136" s="945" t="str">
        <f t="shared" si="54"/>
        <v>Pflegeexperten, Forschung</v>
      </c>
      <c r="B136" s="1218"/>
      <c r="C136" s="1219"/>
      <c r="D136" s="1220"/>
      <c r="E136" s="798" t="str">
        <f>AI136</f>
        <v>FTE in dieser Funktion (ohne Tätigkeit am Patientenbett).</v>
      </c>
      <c r="F136" s="1199"/>
      <c r="G136" s="1200"/>
      <c r="H136" s="805"/>
      <c r="I136" s="1841" t="s">
        <v>788</v>
      </c>
      <c r="J136" s="805"/>
      <c r="K136" s="805"/>
      <c r="L136" s="805"/>
      <c r="M136" s="2041"/>
      <c r="O136" s="1927"/>
      <c r="P136" s="1935"/>
      <c r="Q136" s="881"/>
      <c r="S136" s="1067">
        <f>B136</f>
        <v>0</v>
      </c>
      <c r="T136" s="910">
        <f t="shared" si="55"/>
        <v>0</v>
      </c>
      <c r="U136" s="1066">
        <f t="shared" si="55"/>
        <v>0</v>
      </c>
      <c r="V136" s="873"/>
      <c r="W136" s="873"/>
      <c r="X136" s="907"/>
      <c r="Y136" s="873"/>
      <c r="Z136" s="994"/>
      <c r="AA136" s="873"/>
      <c r="AB136" s="873"/>
      <c r="AD136" s="420" t="s">
        <v>1037</v>
      </c>
      <c r="AE136" s="421" t="s">
        <v>1517</v>
      </c>
      <c r="AF136" s="364" t="str">
        <f t="shared" si="29"/>
        <v>Pflegeexperten, Forschung</v>
      </c>
      <c r="AG136" s="420" t="s">
        <v>2138</v>
      </c>
      <c r="AH136" s="421" t="s">
        <v>2139</v>
      </c>
      <c r="AI136" s="2051" t="str">
        <f t="shared" ref="AI136" si="56">IF(AG136=0,"",IF($A$1="D",AG136,AH136))</f>
        <v>FTE in dieser Funktion (ohne Tätigkeit am Patientenbett).</v>
      </c>
      <c r="AK136" s="2041"/>
    </row>
    <row r="137" spans="1:37" s="799" customFormat="1" ht="60" customHeight="1">
      <c r="A137" s="945" t="str">
        <f t="shared" si="54"/>
        <v>Berufsbildner, Kliniklehrer</v>
      </c>
      <c r="B137" s="1218"/>
      <c r="C137" s="1219"/>
      <c r="D137" s="1220"/>
      <c r="E137" s="1193" t="str">
        <f>AI137</f>
        <v>FTE nur für die allgemeine Weiterbildung des Pflegepersonals der IS und die Praxisausbildung für das Pflegefachpersonal im Nachdiplomstudium NDS HF Intensivpflege (Lernort Praxis).
FTE für die theoretische Bildungsteile (Bildungsanbieter) dürfen hier nicht erfasst werden.</v>
      </c>
      <c r="F137" s="1737">
        <f>IF(C137=0,B137,C137)</f>
        <v>0</v>
      </c>
      <c r="G137" s="1738" t="str">
        <f>"≥"&amp;ROUND(X137,2)</f>
        <v>≥0</v>
      </c>
      <c r="H137" s="1739" t="str">
        <f>AI138</f>
        <v>Die empfohlene Stellenanzahl pro Auszubildenden beträgt 0.15 FTE (Zahl der Auszubildenden wird weiter unten eingetragen).</v>
      </c>
      <c r="I137" s="1841" t="s">
        <v>788</v>
      </c>
      <c r="J137" s="805"/>
      <c r="K137" s="805"/>
      <c r="L137" s="805"/>
      <c r="M137" s="2041"/>
      <c r="O137" s="1927"/>
      <c r="P137" s="1935"/>
      <c r="Q137" s="881"/>
      <c r="S137" s="1067">
        <f>B137</f>
        <v>0</v>
      </c>
      <c r="T137" s="910">
        <f t="shared" si="55"/>
        <v>0</v>
      </c>
      <c r="U137" s="1066">
        <f t="shared" si="55"/>
        <v>0</v>
      </c>
      <c r="V137" s="873"/>
      <c r="W137" s="873"/>
      <c r="X137" s="1003">
        <f>0.15*IF(COUNTBLANK(C145)=1,B145,C145)</f>
        <v>0</v>
      </c>
      <c r="Y137" s="1004">
        <f>T137</f>
        <v>0</v>
      </c>
      <c r="Z137" s="1005" t="str">
        <f>IF(X137=0,"/",Y137/X137)</f>
        <v>/</v>
      </c>
      <c r="AA137" s="873"/>
      <c r="AB137" s="873"/>
      <c r="AD137" s="420" t="s">
        <v>1038</v>
      </c>
      <c r="AE137" s="421" t="s">
        <v>1518</v>
      </c>
      <c r="AF137" s="364" t="str">
        <f t="shared" si="29"/>
        <v>Berufsbildner, Kliniklehrer</v>
      </c>
      <c r="AG137" s="420" t="s">
        <v>2092</v>
      </c>
      <c r="AH137" s="421" t="s">
        <v>1537</v>
      </c>
      <c r="AI137" s="2051" t="str">
        <f t="shared" si="53"/>
        <v>FTE nur für die allgemeine Weiterbildung des Pflegepersonals der IS und die Praxisausbildung für das Pflegefachpersonal im Nachdiplomstudium NDS HF Intensivpflege (Lernort Praxis).
FTE für die theoretische Bildungsteile (Bildungsanbieter) dürfen hier nicht erfasst werden.</v>
      </c>
      <c r="AK137" s="2041"/>
    </row>
    <row r="138" spans="1:37" s="799" customFormat="1" ht="87.75" customHeight="1">
      <c r="A138" s="945" t="str">
        <f t="shared" si="54"/>
        <v>Leistungen ausserhalb der IS und Zusatzfunktionen ohne Tätigkeit am Patientenbett</v>
      </c>
      <c r="B138" s="1218"/>
      <c r="C138" s="1219"/>
      <c r="D138" s="1220"/>
      <c r="E138" s="2058" t="str">
        <f>AI$139</f>
        <v xml:space="preserve">FTE für Zusatzfunktionen wie z.B Material, Hygiene, Informatik (auch wenn über eine andere Kostenstelle abgerechnet).
FTE für Pflegeleistungen ausserhalb der IS. Beispiele: Reanimation, interne und externe Transporte, Überwachung von Aufwachpatienten, Interventionen und Diagnostik, Telemetrie. Betrifft alle Leistungen an Patienten, die nicht im MDSi erfasst sind. </v>
      </c>
      <c r="F138" s="1199"/>
      <c r="G138" s="1200"/>
      <c r="H138" s="805"/>
      <c r="I138" s="1841" t="s">
        <v>788</v>
      </c>
      <c r="J138" s="805"/>
      <c r="K138" s="805"/>
      <c r="L138" s="805"/>
      <c r="M138" s="2041"/>
      <c r="O138" s="1927"/>
      <c r="P138" s="1935"/>
      <c r="Q138" s="881"/>
      <c r="S138" s="1077">
        <f>B138</f>
        <v>0</v>
      </c>
      <c r="T138" s="914">
        <f t="shared" si="55"/>
        <v>0</v>
      </c>
      <c r="U138" s="1068">
        <f t="shared" si="55"/>
        <v>0</v>
      </c>
      <c r="V138" s="873"/>
      <c r="W138" s="873"/>
      <c r="X138" s="873"/>
      <c r="Y138" s="1083"/>
      <c r="Z138" s="1083"/>
      <c r="AA138" s="873"/>
      <c r="AB138" s="873"/>
      <c r="AD138" s="420" t="s">
        <v>2219</v>
      </c>
      <c r="AE138" s="421" t="s">
        <v>2222</v>
      </c>
      <c r="AF138" s="364" t="str">
        <f t="shared" si="29"/>
        <v>Leistungen ausserhalb der IS und Zusatzfunktionen ohne Tätigkeit am Patientenbett</v>
      </c>
      <c r="AG138" s="420" t="s">
        <v>1863</v>
      </c>
      <c r="AH138" s="421" t="s">
        <v>1862</v>
      </c>
      <c r="AI138" s="2051" t="str">
        <f t="shared" si="53"/>
        <v>Die empfohlene Stellenanzahl pro Auszubildenden beträgt 0.15 FTE (Zahl der Auszubildenden wird weiter unten eingetragen).</v>
      </c>
      <c r="AK138" s="2041"/>
    </row>
    <row r="139" spans="1:37" ht="30" customHeight="1" thickBot="1">
      <c r="A139" s="824" t="str">
        <f>AF139</f>
        <v>Total, nicht am Patientenbett (FTE)</v>
      </c>
      <c r="B139" s="987">
        <f>S139</f>
        <v>0</v>
      </c>
      <c r="C139" s="987">
        <f>T139</f>
        <v>0</v>
      </c>
      <c r="D139" s="987">
        <f>U139</f>
        <v>0</v>
      </c>
      <c r="S139" s="1078">
        <f>SUM(S135:S138)</f>
        <v>0</v>
      </c>
      <c r="T139" s="1069">
        <f t="shared" ref="T139:U139" si="57">SUM(T135:T138)</f>
        <v>0</v>
      </c>
      <c r="U139" s="1070">
        <f t="shared" si="57"/>
        <v>0</v>
      </c>
      <c r="V139" s="941"/>
      <c r="W139" s="947"/>
      <c r="X139" s="1085" t="s">
        <v>1347</v>
      </c>
      <c r="Y139" s="1084"/>
      <c r="Z139" s="1086" t="e">
        <f>AA57</f>
        <v>#DIV/0!</v>
      </c>
      <c r="AA139" s="1240"/>
      <c r="AD139" s="221" t="s">
        <v>1502</v>
      </c>
      <c r="AE139" s="347" t="s">
        <v>1503</v>
      </c>
      <c r="AF139" s="362" t="str">
        <f t="shared" si="29"/>
        <v>Total, nicht am Patientenbett (FTE)</v>
      </c>
      <c r="AG139" s="803" t="s">
        <v>2220</v>
      </c>
      <c r="AH139" s="804" t="s">
        <v>2221</v>
      </c>
      <c r="AI139" s="2049" t="str">
        <f t="shared" si="53"/>
        <v xml:space="preserve">FTE für Zusatzfunktionen wie z.B Material, Hygiene, Informatik (auch wenn über eine andere Kostenstelle abgerechnet).
FTE für Pflegeleistungen ausserhalb der IS. Beispiele: Reanimation, interne und externe Transporte, Überwachung von Aufwachpatienten, Interventionen und Diagnostik, Telemetrie. Betrifft alle Leistungen an Patienten, die nicht im MDSi erfasst sind. </v>
      </c>
    </row>
    <row r="140" spans="1:37" ht="41" customHeight="1" thickBot="1">
      <c r="A140" s="812" t="str">
        <f>AF140</f>
        <v>Pflegestellen für die direkte Tätigkeit am Patientenbett (FTE)</v>
      </c>
      <c r="B140" s="2374" t="str">
        <f>AF$133</f>
        <v>Besetzte Stellen laut MDSi</v>
      </c>
      <c r="C140" s="2374"/>
      <c r="D140" s="1030" t="str">
        <f>AI$133</f>
        <v>Bewilligte  Stellen</v>
      </c>
      <c r="E140" s="800"/>
      <c r="G140" s="976"/>
      <c r="S140" s="877">
        <f>B141</f>
        <v>1899</v>
      </c>
      <c r="T140" s="897"/>
      <c r="V140" s="988">
        <f>C141</f>
        <v>0</v>
      </c>
      <c r="W140" s="872" t="s">
        <v>1148</v>
      </c>
      <c r="Y140" s="988">
        <f>D141</f>
        <v>0</v>
      </c>
      <c r="Z140" s="925" t="s">
        <v>1150</v>
      </c>
      <c r="AD140" s="221" t="s">
        <v>1504</v>
      </c>
      <c r="AE140" s="347" t="s">
        <v>1505</v>
      </c>
      <c r="AF140" s="362" t="str">
        <f t="shared" ref="AF140:AF146" si="58">IF(AD140=0,"",IF($A$1="D",AD140,AE140))</f>
        <v>Pflegestellen für die direkte Tätigkeit am Patientenbett (FTE)</v>
      </c>
      <c r="AG140" s="468"/>
      <c r="AH140" s="469"/>
      <c r="AI140" s="2049" t="str">
        <f t="shared" si="53"/>
        <v/>
      </c>
    </row>
    <row r="141" spans="1:37" s="799" customFormat="1" ht="12.75" customHeight="1">
      <c r="A141" s="812"/>
      <c r="B141" s="813">
        <f>YEAR(B$10)-1</f>
        <v>1899</v>
      </c>
      <c r="C141" s="1022">
        <f>B$10</f>
        <v>0</v>
      </c>
      <c r="D141" s="1022">
        <f>B$10</f>
        <v>0</v>
      </c>
      <c r="E141" s="798"/>
      <c r="F141" s="978"/>
      <c r="G141" s="979"/>
      <c r="H141" s="805"/>
      <c r="I141" s="1841"/>
      <c r="J141" s="805"/>
      <c r="K141" s="805"/>
      <c r="L141" s="805"/>
      <c r="M141" s="2041"/>
      <c r="O141" s="1927"/>
      <c r="P141" s="1935"/>
      <c r="Q141" s="881"/>
      <c r="S141" s="1058" t="s">
        <v>898</v>
      </c>
      <c r="T141" s="1055" t="s">
        <v>1149</v>
      </c>
      <c r="U141" s="877"/>
      <c r="V141" s="1087" t="s">
        <v>898</v>
      </c>
      <c r="W141" s="1088" t="s">
        <v>1153</v>
      </c>
      <c r="X141" s="872"/>
      <c r="Y141" s="1093" t="s">
        <v>898</v>
      </c>
      <c r="Z141" s="1055" t="s">
        <v>1149</v>
      </c>
      <c r="AA141" s="872"/>
      <c r="AB141" s="873"/>
      <c r="AD141" s="221"/>
      <c r="AE141" s="347"/>
      <c r="AF141" s="362" t="str">
        <f t="shared" si="58"/>
        <v/>
      </c>
      <c r="AG141" s="221" t="s">
        <v>1519</v>
      </c>
      <c r="AH141" s="469" t="s">
        <v>1520</v>
      </c>
      <c r="AI141" s="2049" t="str">
        <f t="shared" si="53"/>
        <v>Dipl. Pflegefachpersonal mit Schweizer Zusatzausbildung Experte in Intensivpflege</v>
      </c>
      <c r="AK141" s="2041"/>
    </row>
    <row r="142" spans="1:37" ht="79" customHeight="1">
      <c r="A142" s="814" t="str">
        <f>AF142</f>
        <v xml:space="preserve">Dipl. Expertin/Experte Intensivpflege NDS HF </v>
      </c>
      <c r="B142" s="1221"/>
      <c r="C142" s="1222"/>
      <c r="D142" s="1223"/>
      <c r="E142" s="271" t="str">
        <f>AI141</f>
        <v>Dipl. Pflegefachpersonal mit Schweizer Zusatzausbildung Experte in Intensivpflege</v>
      </c>
      <c r="F142" s="2364">
        <f>W142</f>
        <v>0</v>
      </c>
      <c r="G142" s="2364" t="e">
        <f>"≥"&amp;(ROUND(AA56,1))</f>
        <v>#DIV/0!</v>
      </c>
      <c r="H142" s="2366" t="str">
        <f>AI142</f>
        <v>Rahmenlehrplan für Nachdiplomstudien der höheren Fachschulen "Anästhesiepflege" / "Intensivpflege" / "Notfallpflege" Stand am 5.4.2012 :
https://www.odasante.ch/fileadmin/odasante.ch/docs/Hoehere_Berufsbildung_und_Hochschulen/RLP-AIN_d_05042012_Unterschriften.pdf 
7.1.2 Umwandlung des Titels der Fachrichtung Intensivpflege
Die Inhaberinnen / Inhaber des bisherigen Fähigkeitsausweises dipl. Pflegefachfrau Intensivpflege / dipl. Pflegefachmann Intensivpflege, ausgestellt gemäss dem «Reglement und Lernbereiche / Lernziele Weiterbildung in Intensivpflege» des Schweizer Berufsverbandes der Pflegefachfrauen und Pflegefachmänner SBK (letztes Revisionsdatum 1. Januar 1991), sind berechtigt, den neuen Titel dipl. Expertin/ dipl. Experte NDS HF Intensivpflege zu tragen.</v>
      </c>
      <c r="I142" s="1840" t="s">
        <v>788</v>
      </c>
      <c r="J142" s="807"/>
      <c r="K142" s="807"/>
      <c r="L142" s="807"/>
      <c r="O142" s="1932"/>
      <c r="Q142" s="1922"/>
      <c r="S142" s="1241">
        <f t="shared" ref="S142:S147" si="59">B142</f>
        <v>0</v>
      </c>
      <c r="T142" s="2368">
        <f>S142+S143</f>
        <v>0</v>
      </c>
      <c r="V142" s="1241">
        <f t="shared" ref="V142:V147" si="60">IF((C$142+C$143)=0,S142,C142)</f>
        <v>0</v>
      </c>
      <c r="W142" s="2367">
        <f>V142+V143</f>
        <v>0</v>
      </c>
      <c r="X142" s="2363"/>
      <c r="Y142" s="1242">
        <f t="shared" ref="Y142:Y147" si="61">IF((D$142+D$143)=0,V142,D142)</f>
        <v>0</v>
      </c>
      <c r="Z142" s="2362">
        <f>Y142+Y143</f>
        <v>0</v>
      </c>
      <c r="AB142" s="874"/>
      <c r="AD142" s="221" t="s">
        <v>1506</v>
      </c>
      <c r="AE142" s="347" t="s">
        <v>1507</v>
      </c>
      <c r="AF142" s="362" t="str">
        <f t="shared" si="58"/>
        <v xml:space="preserve">Dipl. Expertin/Experte Intensivpflege NDS HF </v>
      </c>
      <c r="AG142" s="221" t="s">
        <v>1041</v>
      </c>
      <c r="AH142" s="421" t="s">
        <v>1521</v>
      </c>
      <c r="AI142" s="2049" t="str">
        <f t="shared" si="53"/>
        <v>Rahmenlehrplan für Nachdiplomstudien der höheren Fachschulen "Anästhesiepflege" / "Intensivpflege" / "Notfallpflege" Stand am 5.4.2012 :
https://www.odasante.ch/fileadmin/odasante.ch/docs/Hoehere_Berufsbildung_und_Hochschulen/RLP-AIN_d_05042012_Unterschriften.pdf 
7.1.2 Umwandlung des Titels der Fachrichtung Intensivpflege
Die Inhaberinnen / Inhaber des bisherigen Fähigkeitsausweises dipl. Pflegefachfrau Intensivpflege / dipl. Pflegefachmann Intensivpflege, ausgestellt gemäss dem «Reglement und Lernbereiche / Lernziele Weiterbildung in Intensivpflege» des Schweizer Berufsverbandes der Pflegefachfrauen und Pflegefachmänner SBK (letztes Revisionsdatum 1. Januar 1991), sind berechtigt, den neuen Titel dipl. Expertin/ dipl. Experte NDS HF Intensivpflege zu tragen.</v>
      </c>
    </row>
    <row r="143" spans="1:37" ht="40" customHeight="1">
      <c r="A143" s="814" t="str">
        <f t="shared" ref="A143:A146" si="62">AF143</f>
        <v>Dipl. Pflegefachpersonal mit Zusatzausbildung IP-Ausland, mit SGI-Äquivalenz</v>
      </c>
      <c r="B143" s="1221"/>
      <c r="C143" s="1222"/>
      <c r="D143" s="1223"/>
      <c r="E143" s="271" t="str">
        <f t="shared" ref="E143:E148" si="63">AI143</f>
        <v/>
      </c>
      <c r="F143" s="2364"/>
      <c r="G143" s="2364"/>
      <c r="H143" s="2366"/>
      <c r="I143" s="1840" t="s">
        <v>788</v>
      </c>
      <c r="S143" s="1241">
        <f t="shared" si="59"/>
        <v>0</v>
      </c>
      <c r="T143" s="2368"/>
      <c r="V143" s="1241">
        <f t="shared" si="60"/>
        <v>0</v>
      </c>
      <c r="W143" s="2367"/>
      <c r="X143" s="2363"/>
      <c r="Y143" s="1242">
        <f t="shared" si="61"/>
        <v>0</v>
      </c>
      <c r="Z143" s="2362"/>
      <c r="AB143" s="874"/>
      <c r="AD143" s="221" t="s">
        <v>1522</v>
      </c>
      <c r="AE143" s="347" t="s">
        <v>1508</v>
      </c>
      <c r="AF143" s="362" t="str">
        <f t="shared" si="58"/>
        <v>Dipl. Pflegefachpersonal mit Zusatzausbildung IP-Ausland, mit SGI-Äquivalenz</v>
      </c>
      <c r="AH143" s="421"/>
      <c r="AI143" s="2049" t="str">
        <f t="shared" si="53"/>
        <v/>
      </c>
    </row>
    <row r="144" spans="1:37" ht="40" customHeight="1">
      <c r="A144" s="814" t="str">
        <f t="shared" si="62"/>
        <v xml:space="preserve">Dipl. Pflegefachpersonal mit Zusatzausbildung IP-Ausland, ohne SGI-Äquivalenz </v>
      </c>
      <c r="B144" s="1221"/>
      <c r="C144" s="1222"/>
      <c r="D144" s="1223"/>
      <c r="E144" s="271" t="str">
        <f t="shared" si="63"/>
        <v/>
      </c>
      <c r="F144" s="1214">
        <f>W144</f>
        <v>0</v>
      </c>
      <c r="G144" s="1215" t="s">
        <v>1095</v>
      </c>
      <c r="H144" s="2366"/>
      <c r="I144" s="1840" t="s">
        <v>788</v>
      </c>
      <c r="S144" s="1059">
        <f t="shared" si="59"/>
        <v>0</v>
      </c>
      <c r="T144" s="1056">
        <f>B144</f>
        <v>0</v>
      </c>
      <c r="V144" s="1059">
        <f t="shared" si="60"/>
        <v>0</v>
      </c>
      <c r="W144" s="1089">
        <f>V144</f>
        <v>0</v>
      </c>
      <c r="X144" s="877"/>
      <c r="Y144" s="1094">
        <f t="shared" si="61"/>
        <v>0</v>
      </c>
      <c r="Z144" s="1089">
        <f>Y144</f>
        <v>0</v>
      </c>
      <c r="AB144" s="874"/>
      <c r="AD144" s="221" t="s">
        <v>1523</v>
      </c>
      <c r="AE144" s="347" t="s">
        <v>1509</v>
      </c>
      <c r="AF144" s="362" t="str">
        <f t="shared" si="58"/>
        <v xml:space="preserve">Dipl. Pflegefachpersonal mit Zusatzausbildung IP-Ausland, ohne SGI-Äquivalenz </v>
      </c>
      <c r="AH144" s="421"/>
      <c r="AI144" s="2049" t="str">
        <f t="shared" si="53"/>
        <v/>
      </c>
    </row>
    <row r="145" spans="1:37" ht="40" customHeight="1">
      <c r="A145" s="814" t="str">
        <f t="shared" si="62"/>
        <v>Dipl. Pflegefachpersonal in WB (NDS HF IP)</v>
      </c>
      <c r="B145" s="1221"/>
      <c r="C145" s="1222"/>
      <c r="D145" s="1223"/>
      <c r="E145" s="271" t="str">
        <f t="shared" si="63"/>
        <v>Weiterbildung: die hier angegebenen Stellen zählen zu 75% in der Summe "Total am Bett". Absoluter Wert s. rechts</v>
      </c>
      <c r="F145" s="1216">
        <f>W145</f>
        <v>0</v>
      </c>
      <c r="G145" s="1215" t="s">
        <v>1095</v>
      </c>
      <c r="H145" s="2366"/>
      <c r="I145" s="1840" t="s">
        <v>788</v>
      </c>
      <c r="S145" s="1059">
        <f t="shared" si="59"/>
        <v>0</v>
      </c>
      <c r="T145" s="1056">
        <f>B145*0.75</f>
        <v>0</v>
      </c>
      <c r="V145" s="1059">
        <f t="shared" si="60"/>
        <v>0</v>
      </c>
      <c r="W145" s="1089">
        <f>V145*0.75</f>
        <v>0</v>
      </c>
      <c r="X145" s="877"/>
      <c r="Y145" s="1094">
        <f t="shared" si="61"/>
        <v>0</v>
      </c>
      <c r="Z145" s="1089">
        <f>Y145*0.75</f>
        <v>0</v>
      </c>
      <c r="AB145" s="874"/>
      <c r="AD145" s="221" t="s">
        <v>1524</v>
      </c>
      <c r="AE145" s="347" t="s">
        <v>1510</v>
      </c>
      <c r="AF145" s="362" t="str">
        <f t="shared" si="58"/>
        <v>Dipl. Pflegefachpersonal in WB (NDS HF IP)</v>
      </c>
      <c r="AG145" s="221" t="s">
        <v>1542</v>
      </c>
      <c r="AH145" s="347" t="s">
        <v>1543</v>
      </c>
      <c r="AI145" s="2049" t="str">
        <f t="shared" si="53"/>
        <v>Weiterbildung: die hier angegebenen Stellen zählen zu 75% in der Summe "Total am Bett". Absoluter Wert s. rechts</v>
      </c>
    </row>
    <row r="146" spans="1:37" ht="40" customHeight="1">
      <c r="A146" s="814" t="str">
        <f t="shared" si="62"/>
        <v>Dipl. Pflegefachpersonal (Grundausbildung Diplom HF/FH CH oder Ausland mit CH Registrierung)</v>
      </c>
      <c r="B146" s="1221"/>
      <c r="C146" s="1222"/>
      <c r="D146" s="1223"/>
      <c r="E146" s="271" t="str">
        <f t="shared" si="63"/>
        <v>Dipl. Pflegefachpersonal ohne Zusatzausbildung in Intensivpflege</v>
      </c>
      <c r="F146" s="1214">
        <f>W146</f>
        <v>0</v>
      </c>
      <c r="G146" s="1215" t="s">
        <v>1095</v>
      </c>
      <c r="I146" s="1840" t="s">
        <v>788</v>
      </c>
      <c r="S146" s="1059">
        <f t="shared" si="59"/>
        <v>0</v>
      </c>
      <c r="T146" s="1056">
        <f>B146</f>
        <v>0</v>
      </c>
      <c r="V146" s="1059">
        <f t="shared" si="60"/>
        <v>0</v>
      </c>
      <c r="W146" s="1089">
        <f>V146</f>
        <v>0</v>
      </c>
      <c r="X146" s="877"/>
      <c r="Y146" s="1094">
        <f t="shared" si="61"/>
        <v>0</v>
      </c>
      <c r="Z146" s="1089">
        <f>Y146</f>
        <v>0</v>
      </c>
      <c r="AB146" s="874"/>
      <c r="AD146" s="221" t="s">
        <v>1525</v>
      </c>
      <c r="AE146" s="347" t="s">
        <v>1511</v>
      </c>
      <c r="AF146" s="362" t="str">
        <f t="shared" si="58"/>
        <v>Dipl. Pflegefachpersonal (Grundausbildung Diplom HF/FH CH oder Ausland mit CH Registrierung)</v>
      </c>
      <c r="AG146" s="221" t="s">
        <v>1526</v>
      </c>
      <c r="AH146" s="347" t="s">
        <v>1527</v>
      </c>
      <c r="AI146" s="2049" t="str">
        <f t="shared" si="53"/>
        <v>Dipl. Pflegefachpersonal ohne Zusatzausbildung in Intensivpflege</v>
      </c>
    </row>
    <row r="147" spans="1:37" ht="40" customHeight="1">
      <c r="A147" s="814" t="str">
        <f>AF147</f>
        <v>Fachmann / Fachfrau Gesundheit EFZ (FAGE)</v>
      </c>
      <c r="B147" s="1221"/>
      <c r="C147" s="1222"/>
      <c r="D147" s="1223"/>
      <c r="E147" s="271" t="str">
        <f t="shared" si="63"/>
        <v>FAGE: von den hier angegebenen Stellen werden höchstens 5% des Gesamtbedarfs an Pflegestellen zur Summe  "Total am Bett" angerechnet. Absoluter Wert s. rechts</v>
      </c>
      <c r="F147" s="1217" t="e">
        <f>W147</f>
        <v>#DIV/0!</v>
      </c>
      <c r="G147" s="1215" t="s">
        <v>1095</v>
      </c>
      <c r="I147" s="1840" t="s">
        <v>788</v>
      </c>
      <c r="S147" s="1060">
        <f t="shared" si="59"/>
        <v>0</v>
      </c>
      <c r="T147" s="1057" t="e">
        <f>IF(B147&gt;Z139,Z139,B147)</f>
        <v>#DIV/0!</v>
      </c>
      <c r="V147" s="1060">
        <f t="shared" si="60"/>
        <v>0</v>
      </c>
      <c r="W147" s="1090" t="e">
        <f>IF(V147&gt;Z139,Z139,V147)</f>
        <v>#DIV/0!</v>
      </c>
      <c r="X147" s="877"/>
      <c r="Y147" s="1095">
        <f t="shared" si="61"/>
        <v>0</v>
      </c>
      <c r="Z147" s="1090" t="e">
        <f>IF(Y147&gt;Z139,Z139,Y147)</f>
        <v>#DIV/0!</v>
      </c>
      <c r="AB147" s="874"/>
      <c r="AD147" s="221" t="s">
        <v>1042</v>
      </c>
      <c r="AE147" s="347" t="s">
        <v>1344</v>
      </c>
      <c r="AF147" s="362" t="str">
        <f t="shared" ref="AF147:AF150" si="64">IF(AD147=0,"",IF($A$1="D",AD147,AE147))</f>
        <v>Fachmann / Fachfrau Gesundheit EFZ (FAGE)</v>
      </c>
      <c r="AG147" s="221" t="s">
        <v>1544</v>
      </c>
      <c r="AH147" s="347" t="s">
        <v>1545</v>
      </c>
      <c r="AI147" s="2049" t="str">
        <f t="shared" si="53"/>
        <v>FAGE: von den hier angegebenen Stellen werden höchstens 5% des Gesamtbedarfs an Pflegestellen zur Summe  "Total am Bett" angerechnet. Absoluter Wert s. rechts</v>
      </c>
    </row>
    <row r="148" spans="1:37" ht="30" customHeight="1" thickBot="1">
      <c r="A148" s="812" t="str">
        <f>AF148</f>
        <v>Total am Bett (korrigiert)</v>
      </c>
      <c r="B148" s="949" t="e">
        <f>T148</f>
        <v>#DIV/0!</v>
      </c>
      <c r="C148" s="950" t="e">
        <f>W148</f>
        <v>#DIV/0!</v>
      </c>
      <c r="D148" s="950" t="e">
        <f>Z148</f>
        <v>#DIV/0!</v>
      </c>
      <c r="E148" s="271" t="str">
        <f t="shared" si="63"/>
        <v>Summe, mit Korrektur für Weiterbildung und max. FAGE-Anteil s.o.</v>
      </c>
      <c r="F148" s="1194" t="e">
        <f>W148</f>
        <v>#DIV/0!</v>
      </c>
      <c r="G148" s="1195" t="e">
        <f>"≥"&amp;ROUND(X61,1)</f>
        <v>#DIV/0!</v>
      </c>
      <c r="H148" s="1736" t="str">
        <f>AI149</f>
        <v xml:space="preserve"> = Stellen am Bett: aktuell / Bedarf nach Aktivität des letzten Kalenderjahres</v>
      </c>
      <c r="S148" s="1187">
        <f>SUM(S142:S147)</f>
        <v>0</v>
      </c>
      <c r="T148" s="1188" t="e">
        <f>SUM(T142:T147)</f>
        <v>#DIV/0!</v>
      </c>
      <c r="V148" s="1091">
        <f>SUM(V142:V147)</f>
        <v>0</v>
      </c>
      <c r="W148" s="1092" t="e">
        <f>SUM(W142:W147)</f>
        <v>#DIV/0!</v>
      </c>
      <c r="X148" s="948"/>
      <c r="Y148" s="1091">
        <f t="shared" ref="Y148:Z148" si="65">SUM(Y142:Y147)</f>
        <v>0</v>
      </c>
      <c r="Z148" s="1096" t="e">
        <f t="shared" si="65"/>
        <v>#DIV/0!</v>
      </c>
      <c r="AD148" s="221" t="s">
        <v>1152</v>
      </c>
      <c r="AE148" s="347" t="s">
        <v>1249</v>
      </c>
      <c r="AF148" s="362" t="str">
        <f t="shared" si="64"/>
        <v>Total am Bett (korrigiert)</v>
      </c>
      <c r="AG148" s="221" t="s">
        <v>1528</v>
      </c>
      <c r="AH148" s="347" t="s">
        <v>1529</v>
      </c>
      <c r="AI148" s="2049" t="str">
        <f t="shared" si="53"/>
        <v>Summe, mit Korrektur für Weiterbildung und max. FAGE-Anteil s.o.</v>
      </c>
    </row>
    <row r="149" spans="1:37" ht="41" customHeight="1">
      <c r="A149" s="1041" t="str">
        <f>AF149</f>
        <v>Zusätzliches Personal (FTE)</v>
      </c>
      <c r="B149" s="2356" t="str">
        <f>AF$133</f>
        <v>Besetzte Stellen laut MDSi</v>
      </c>
      <c r="C149" s="2356"/>
      <c r="D149" s="1016" t="str">
        <f>AI$133</f>
        <v>Bewilligte  Stellen</v>
      </c>
      <c r="E149" s="800"/>
      <c r="F149" s="1196" t="e">
        <f>F148/X59</f>
        <v>#DIV/0!</v>
      </c>
      <c r="G149" s="1196" t="s">
        <v>1143</v>
      </c>
      <c r="H149" s="1153" t="str">
        <f>AI153</f>
        <v xml:space="preserve"> = Erfüllen des Mindestbedarfs, berechnet mit aktuellen Stellen (Datum der Anfrage) und Aktivität des letzten Kalenderjahres</v>
      </c>
      <c r="S149" s="1189"/>
      <c r="T149" s="1190" t="s">
        <v>1148</v>
      </c>
      <c r="U149" s="996" t="s">
        <v>1150</v>
      </c>
      <c r="AD149" s="221" t="s">
        <v>1345</v>
      </c>
      <c r="AE149" s="347" t="s">
        <v>1346</v>
      </c>
      <c r="AF149" s="362" t="str">
        <f t="shared" si="64"/>
        <v>Zusätzliches Personal (FTE)</v>
      </c>
      <c r="AG149" s="420" t="s">
        <v>1859</v>
      </c>
      <c r="AH149" s="421" t="s">
        <v>1857</v>
      </c>
      <c r="AI149" s="2051" t="str">
        <f>IF(AG149=0,"",IF($A$1="D",AG149,AH149))</f>
        <v xml:space="preserve"> = Stellen am Bett: aktuell / Bedarf nach Aktivität des letzten Kalenderjahres</v>
      </c>
    </row>
    <row r="150" spans="1:37" s="799" customFormat="1" ht="12.75" customHeight="1">
      <c r="A150" s="821"/>
      <c r="B150" s="822">
        <f>YEAR(B$10)-1</f>
        <v>1899</v>
      </c>
      <c r="C150" s="1023">
        <f>B$10</f>
        <v>0</v>
      </c>
      <c r="D150" s="1025">
        <f>B$10</f>
        <v>0</v>
      </c>
      <c r="E150" s="798"/>
      <c r="F150" s="1197"/>
      <c r="G150" s="1198"/>
      <c r="H150" s="805"/>
      <c r="I150" s="1841"/>
      <c r="J150" s="805"/>
      <c r="K150" s="805"/>
      <c r="L150" s="805"/>
      <c r="M150" s="2041"/>
      <c r="O150" s="1927"/>
      <c r="P150" s="1935"/>
      <c r="Q150" s="881"/>
      <c r="S150" s="992">
        <f>B150</f>
        <v>1899</v>
      </c>
      <c r="T150" s="991">
        <f>C150</f>
        <v>0</v>
      </c>
      <c r="U150" s="993">
        <f>D150</f>
        <v>0</v>
      </c>
      <c r="V150" s="873"/>
      <c r="W150" s="873"/>
      <c r="X150" s="873"/>
      <c r="Y150" s="873"/>
      <c r="Z150" s="926"/>
      <c r="AA150" s="873"/>
      <c r="AB150" s="873"/>
      <c r="AD150" s="221"/>
      <c r="AE150" s="347"/>
      <c r="AF150" s="362" t="str">
        <f t="shared" si="64"/>
        <v/>
      </c>
      <c r="AG150" s="420"/>
      <c r="AH150" s="421"/>
      <c r="AI150" s="2049" t="str">
        <f t="shared" si="53"/>
        <v/>
      </c>
      <c r="AK150" s="2041"/>
    </row>
    <row r="151" spans="1:37" s="799" customFormat="1" ht="28" customHeight="1">
      <c r="A151" s="966" t="str">
        <f t="shared" ref="A151:A152" si="66">AF151</f>
        <v xml:space="preserve">Pflegehilfspersonal (Pflege-Assistenten, Pflegehilfen, usw.) </v>
      </c>
      <c r="B151" s="861"/>
      <c r="C151" s="969"/>
      <c r="D151" s="1026"/>
      <c r="E151" s="798" t="str">
        <f>AI151</f>
        <v>In obigen Zahlen nicht einbegriffenes Personal</v>
      </c>
      <c r="F151" s="1199"/>
      <c r="G151" s="1200"/>
      <c r="H151" s="805"/>
      <c r="I151" s="1841" t="s">
        <v>788</v>
      </c>
      <c r="J151" s="805"/>
      <c r="K151" s="805"/>
      <c r="L151" s="805"/>
      <c r="M151" s="2041"/>
      <c r="O151" s="1927"/>
      <c r="P151" s="1935"/>
      <c r="Q151" s="881"/>
      <c r="S151" s="997">
        <f>B151</f>
        <v>0</v>
      </c>
      <c r="T151" s="910">
        <f t="shared" ref="T151:U154" si="67">IF(COUNTBLANK(C151)=1,B151,C151)</f>
        <v>0</v>
      </c>
      <c r="U151" s="911">
        <f t="shared" si="67"/>
        <v>0</v>
      </c>
      <c r="V151" s="873"/>
      <c r="W151" s="873"/>
      <c r="X151" s="873"/>
      <c r="Y151" s="873"/>
      <c r="Z151" s="926"/>
      <c r="AA151" s="873"/>
      <c r="AB151" s="873"/>
      <c r="AD151" s="420" t="s">
        <v>1512</v>
      </c>
      <c r="AE151" s="421" t="s">
        <v>1513</v>
      </c>
      <c r="AF151" s="364" t="str">
        <f t="shared" ref="AF151:AF161" si="68">IF(AD151=0,"",IF($A$1="D",AD151,AE151))</f>
        <v xml:space="preserve">Pflegehilfspersonal (Pflege-Assistenten, Pflegehilfen, usw.) </v>
      </c>
      <c r="AG151" s="420" t="s">
        <v>1538</v>
      </c>
      <c r="AH151" s="421" t="s">
        <v>1539</v>
      </c>
      <c r="AI151" s="2051" t="str">
        <f t="shared" si="53"/>
        <v>In obigen Zahlen nicht einbegriffenes Personal</v>
      </c>
      <c r="AK151" s="2041"/>
    </row>
    <row r="152" spans="1:37" s="799" customFormat="1" ht="28" customHeight="1">
      <c r="A152" s="966" t="str">
        <f t="shared" si="66"/>
        <v>Physiotherapeuten</v>
      </c>
      <c r="B152" s="861"/>
      <c r="C152" s="969"/>
      <c r="D152" s="1026"/>
      <c r="E152" s="859" t="str">
        <f>AI152</f>
        <v>Der IS zur Verfügung stehende Stellen (auch wenn über eine andere Kostenstelle abgerechnet), FTE</v>
      </c>
      <c r="F152" s="1199"/>
      <c r="G152" s="1200"/>
      <c r="H152" s="805"/>
      <c r="I152" s="1841" t="s">
        <v>788</v>
      </c>
      <c r="J152" s="805"/>
      <c r="K152" s="805"/>
      <c r="L152" s="805"/>
      <c r="M152" s="2041"/>
      <c r="O152" s="1927"/>
      <c r="P152" s="1935"/>
      <c r="Q152" s="881"/>
      <c r="S152" s="997">
        <f>B152</f>
        <v>0</v>
      </c>
      <c r="T152" s="910">
        <f t="shared" si="67"/>
        <v>0</v>
      </c>
      <c r="U152" s="911">
        <f t="shared" si="67"/>
        <v>0</v>
      </c>
      <c r="V152" s="967"/>
      <c r="W152" s="967"/>
      <c r="X152" s="1000" t="s">
        <v>1108</v>
      </c>
      <c r="Y152" s="1001" t="s">
        <v>1111</v>
      </c>
      <c r="Z152" s="1002" t="s">
        <v>1110</v>
      </c>
      <c r="AA152" s="967"/>
      <c r="AB152" s="967"/>
      <c r="AD152" s="420" t="s">
        <v>1348</v>
      </c>
      <c r="AE152" s="421" t="s">
        <v>1349</v>
      </c>
      <c r="AF152" s="364" t="str">
        <f t="shared" si="68"/>
        <v>Physiotherapeuten</v>
      </c>
      <c r="AG152" s="420" t="s">
        <v>2064</v>
      </c>
      <c r="AH152" s="421" t="s">
        <v>2065</v>
      </c>
      <c r="AI152" s="2051" t="str">
        <f t="shared" ref="AI152" si="69">IF(AG152=0,"",IF($A$1="D",AG152,AH152))</f>
        <v>Der IS zur Verfügung stehende Stellen (auch wenn über eine andere Kostenstelle abgerechnet), FTE</v>
      </c>
      <c r="AK152" s="2041"/>
    </row>
    <row r="153" spans="1:37" s="799" customFormat="1" ht="35" customHeight="1">
      <c r="A153" s="966" t="str">
        <f>AF153</f>
        <v>Administratives Personal (Sekretariat für Ärzte und Pflege)</v>
      </c>
      <c r="B153" s="861"/>
      <c r="C153" s="969"/>
      <c r="D153" s="1026"/>
      <c r="E153" s="859" t="str">
        <f>AI152</f>
        <v>Der IS zur Verfügung stehende Stellen (auch wenn über eine andere Kostenstelle abgerechnet), FTE</v>
      </c>
      <c r="F153" s="1201">
        <f>IF(C153=0,B153,C153)</f>
        <v>0</v>
      </c>
      <c r="G153" s="1202" t="str">
        <f>"≥"&amp;ROUND(X153,1)</f>
        <v>≥0</v>
      </c>
      <c r="H153" s="805"/>
      <c r="I153" s="1841" t="s">
        <v>788</v>
      </c>
      <c r="J153" s="805"/>
      <c r="K153" s="805"/>
      <c r="L153" s="805"/>
      <c r="M153" s="2041"/>
      <c r="O153" s="1927"/>
      <c r="P153" s="1935"/>
      <c r="Q153" s="881"/>
      <c r="S153" s="997">
        <f>B153</f>
        <v>0</v>
      </c>
      <c r="T153" s="910">
        <f t="shared" si="67"/>
        <v>0</v>
      </c>
      <c r="U153" s="911">
        <f t="shared" si="67"/>
        <v>0</v>
      </c>
      <c r="V153" s="946"/>
      <c r="W153" s="946"/>
      <c r="X153" s="1003">
        <f>$B$22*0.5/6</f>
        <v>0</v>
      </c>
      <c r="Y153" s="1004">
        <f>IF(COUNTBLANK(C153)=1,B153,C153)</f>
        <v>0</v>
      </c>
      <c r="Z153" s="1005" t="e">
        <f>Y153/X153</f>
        <v>#DIV/0!</v>
      </c>
      <c r="AA153" s="946"/>
      <c r="AB153" s="946"/>
      <c r="AD153" s="420" t="s">
        <v>1514</v>
      </c>
      <c r="AE153" s="421" t="s">
        <v>1515</v>
      </c>
      <c r="AF153" s="364" t="str">
        <f t="shared" si="68"/>
        <v>Administratives Personal (Sekretariat für Ärzte und Pflege)</v>
      </c>
      <c r="AG153" s="420" t="s">
        <v>1860</v>
      </c>
      <c r="AH153" s="421" t="s">
        <v>1858</v>
      </c>
      <c r="AI153" s="2051" t="str">
        <f t="shared" si="53"/>
        <v xml:space="preserve"> = Erfüllen des Mindestbedarfs, berechnet mit aktuellen Stellen (Datum der Anfrage) und Aktivität des letzten Kalenderjahres</v>
      </c>
      <c r="AK153" s="2041"/>
    </row>
    <row r="154" spans="1:37" ht="28" customHeight="1">
      <c r="A154" s="968" t="str">
        <f>AF154</f>
        <v>davon für  Pflege</v>
      </c>
      <c r="B154" s="965"/>
      <c r="C154" s="1024"/>
      <c r="D154" s="1027"/>
      <c r="S154" s="999">
        <f>B154</f>
        <v>0</v>
      </c>
      <c r="T154" s="914">
        <f t="shared" si="67"/>
        <v>0</v>
      </c>
      <c r="U154" s="915">
        <f t="shared" si="67"/>
        <v>0</v>
      </c>
      <c r="AD154" s="221" t="s">
        <v>1540</v>
      </c>
      <c r="AE154" s="347" t="s">
        <v>1516</v>
      </c>
      <c r="AF154" s="362" t="str">
        <f t="shared" si="68"/>
        <v>davon für  Pflege</v>
      </c>
      <c r="AI154" s="2051" t="str">
        <f t="shared" si="53"/>
        <v/>
      </c>
    </row>
    <row r="155" spans="1:37" ht="25.5" customHeight="1">
      <c r="S155" s="998">
        <f>SUM(S151:S153)</f>
        <v>0</v>
      </c>
      <c r="T155" s="995">
        <f t="shared" ref="T155:U155" si="70">SUM(T151:T153)</f>
        <v>0</v>
      </c>
      <c r="U155" s="915">
        <f t="shared" si="70"/>
        <v>0</v>
      </c>
      <c r="AF155" s="362" t="str">
        <f t="shared" si="68"/>
        <v/>
      </c>
      <c r="AI155" s="2051" t="str">
        <f t="shared" si="53"/>
        <v/>
      </c>
    </row>
    <row r="156" spans="1:37" ht="12.75" customHeight="1">
      <c r="S156" s="873"/>
      <c r="T156" s="873"/>
      <c r="U156" s="874"/>
      <c r="AD156" s="400"/>
      <c r="AE156" s="401"/>
      <c r="AF156" s="362" t="str">
        <f t="shared" si="68"/>
        <v/>
      </c>
      <c r="AG156" s="400"/>
      <c r="AH156" s="401"/>
      <c r="AI156" s="2051" t="str">
        <f t="shared" si="53"/>
        <v/>
      </c>
    </row>
    <row r="157" spans="1:37" ht="23" customHeight="1">
      <c r="A157" s="797" t="str">
        <f>AF157</f>
        <v>Total, Paramedizinisches Personal (FTE)</v>
      </c>
      <c r="B157" s="1015">
        <f>S139+S151+S152+S148</f>
        <v>0</v>
      </c>
      <c r="C157" s="1015">
        <f>T139+T151+T152+V148</f>
        <v>0</v>
      </c>
      <c r="D157" s="1015">
        <f>U139+U151+U152+Y148</f>
        <v>0</v>
      </c>
      <c r="E157" s="271" t="str">
        <f>AI157</f>
        <v>Einschl. Pflegehilfen, Physio. Ohne Korrektur (FAGE/WB)</v>
      </c>
      <c r="AD157" s="400" t="s">
        <v>1350</v>
      </c>
      <c r="AE157" s="401" t="s">
        <v>1351</v>
      </c>
      <c r="AF157" s="362" t="str">
        <f t="shared" si="68"/>
        <v>Total, Paramedizinisches Personal (FTE)</v>
      </c>
      <c r="AG157" s="400" t="s">
        <v>1154</v>
      </c>
      <c r="AH157" s="401" t="s">
        <v>1939</v>
      </c>
      <c r="AI157" s="2051" t="str">
        <f t="shared" si="53"/>
        <v>Einschl. Pflegehilfen, Physio. Ohne Korrektur (FAGE/WB)</v>
      </c>
    </row>
    <row r="158" spans="1:37" ht="23" customHeight="1">
      <c r="A158" s="797" t="str">
        <f t="shared" ref="A158:A160" si="71">AF158</f>
        <v>Total, Ärzte (FTE)</v>
      </c>
      <c r="B158" s="1015">
        <f>B99</f>
        <v>0</v>
      </c>
      <c r="C158" s="1015">
        <f>C99</f>
        <v>0</v>
      </c>
      <c r="D158" s="1015">
        <f>D99</f>
        <v>0</v>
      </c>
      <c r="AD158" s="400" t="s">
        <v>1146</v>
      </c>
      <c r="AE158" s="347" t="s">
        <v>1250</v>
      </c>
      <c r="AF158" s="362" t="str">
        <f t="shared" si="68"/>
        <v>Total, Ärzte (FTE)</v>
      </c>
      <c r="AG158" s="400"/>
      <c r="AH158" s="401"/>
      <c r="AI158" s="2051"/>
    </row>
    <row r="159" spans="1:37" ht="23" customHeight="1">
      <c r="A159" s="797" t="str">
        <f t="shared" si="71"/>
        <v>Sekretariat (FTE)</v>
      </c>
      <c r="B159" s="1015">
        <f>S153</f>
        <v>0</v>
      </c>
      <c r="C159" s="1015">
        <f t="shared" ref="C159:D159" si="72">T153</f>
        <v>0</v>
      </c>
      <c r="D159" s="1015">
        <f t="shared" si="72"/>
        <v>0</v>
      </c>
      <c r="AD159" s="400" t="s">
        <v>1180</v>
      </c>
      <c r="AE159" s="347" t="s">
        <v>1251</v>
      </c>
      <c r="AF159" s="362" t="str">
        <f t="shared" si="68"/>
        <v>Sekretariat (FTE)</v>
      </c>
      <c r="AG159" s="400"/>
      <c r="AH159" s="401"/>
      <c r="AI159" s="2051"/>
    </row>
    <row r="160" spans="1:37" ht="32.25" customHeight="1">
      <c r="A160" s="797" t="str">
        <f t="shared" si="71"/>
        <v>ALLE Stellen</v>
      </c>
      <c r="B160" s="989">
        <f>SUM(B157:B159)</f>
        <v>0</v>
      </c>
      <c r="C160" s="989">
        <f t="shared" ref="C160:D160" si="73">SUM(C157:C159)</f>
        <v>0</v>
      </c>
      <c r="D160" s="989">
        <f t="shared" si="73"/>
        <v>0</v>
      </c>
      <c r="AD160" s="400" t="s">
        <v>1155</v>
      </c>
      <c r="AE160" s="347" t="s">
        <v>1252</v>
      </c>
      <c r="AF160" s="362" t="str">
        <f t="shared" si="68"/>
        <v>ALLE Stellen</v>
      </c>
      <c r="AG160" s="400"/>
      <c r="AH160" s="401"/>
      <c r="AI160" s="2051"/>
    </row>
    <row r="161" spans="1:37" ht="23" customHeight="1">
      <c r="AD161" s="400"/>
      <c r="AE161" s="401"/>
      <c r="AF161" s="362" t="str">
        <f t="shared" si="68"/>
        <v/>
      </c>
      <c r="AG161" s="400"/>
      <c r="AH161" s="401"/>
      <c r="AI161" s="2051" t="str">
        <f t="shared" ref="AI161:AI166" si="74">IF(AG161=0,"",IF($A$1="D",AG161,AH161))</f>
        <v/>
      </c>
    </row>
    <row r="162" spans="1:37" s="799" customFormat="1" ht="33" customHeight="1">
      <c r="A162" s="1157" t="str">
        <f>AF162</f>
        <v>Spezifische Geräte</v>
      </c>
      <c r="B162" s="2365" t="str">
        <f>AI162</f>
        <v>Beschreibung
(z.B. Marke, Modell oder Typ)</v>
      </c>
      <c r="C162" s="2365"/>
      <c r="D162" s="782" t="str">
        <f>AI163</f>
        <v>Anzahl</v>
      </c>
      <c r="E162" s="798"/>
      <c r="F162" s="2361"/>
      <c r="G162" s="2361"/>
      <c r="H162" s="805"/>
      <c r="I162" s="1841"/>
      <c r="J162" s="805"/>
      <c r="K162" s="805"/>
      <c r="L162" s="805"/>
      <c r="M162" s="2041"/>
      <c r="O162" s="1927"/>
      <c r="P162" s="1935"/>
      <c r="Q162" s="881"/>
      <c r="S162" s="873"/>
      <c r="T162" s="873"/>
      <c r="U162" s="874"/>
      <c r="V162" s="873"/>
      <c r="W162" s="873"/>
      <c r="X162" s="873"/>
      <c r="Y162" s="873"/>
      <c r="Z162" s="926"/>
      <c r="AA162" s="873"/>
      <c r="AB162" s="873"/>
      <c r="AD162" s="848" t="s">
        <v>1158</v>
      </c>
      <c r="AE162" s="849" t="s">
        <v>1253</v>
      </c>
      <c r="AF162" s="364" t="str">
        <f t="shared" ref="AF162:AF163" si="75">IF(AD162=0,"",IF($A$1="D",AD162,AE162))</f>
        <v>Spezifische Geräte</v>
      </c>
      <c r="AG162" s="848" t="s">
        <v>1451</v>
      </c>
      <c r="AH162" s="849" t="s">
        <v>1450</v>
      </c>
      <c r="AI162" s="2049" t="str">
        <f t="shared" si="74"/>
        <v>Beschreibung
(z.B. Marke, Modell oder Typ)</v>
      </c>
      <c r="AK162" s="2041"/>
    </row>
    <row r="163" spans="1:37" s="868" customFormat="1" ht="25" customHeight="1">
      <c r="A163" s="805" t="str">
        <f>AF163</f>
        <v>Monitoring, am Bett</v>
      </c>
      <c r="B163" s="2360"/>
      <c r="C163" s="2360"/>
      <c r="D163" s="853"/>
      <c r="E163" s="798"/>
      <c r="F163" s="980"/>
      <c r="G163" s="981"/>
      <c r="H163" s="867"/>
      <c r="I163" s="1841"/>
      <c r="J163" s="867"/>
      <c r="K163" s="867"/>
      <c r="L163" s="867"/>
      <c r="M163" s="2041"/>
      <c r="O163" s="1927"/>
      <c r="P163" s="1935"/>
      <c r="Q163" s="881"/>
      <c r="S163" s="874"/>
      <c r="T163" s="874"/>
      <c r="U163" s="874"/>
      <c r="V163" s="874"/>
      <c r="W163" s="874"/>
      <c r="X163" s="874"/>
      <c r="Y163" s="874"/>
      <c r="Z163" s="926"/>
      <c r="AA163" s="874"/>
      <c r="AB163" s="874"/>
      <c r="AD163" s="848" t="s">
        <v>1161</v>
      </c>
      <c r="AE163" s="849" t="s">
        <v>1254</v>
      </c>
      <c r="AF163" s="364" t="str">
        <f t="shared" si="75"/>
        <v>Monitoring, am Bett</v>
      </c>
      <c r="AG163" s="848" t="s">
        <v>440</v>
      </c>
      <c r="AH163" s="849" t="s">
        <v>1292</v>
      </c>
      <c r="AI163" s="2049" t="str">
        <f t="shared" si="74"/>
        <v>Anzahl</v>
      </c>
      <c r="AK163" s="2041"/>
    </row>
    <row r="164" spans="1:37" s="868" customFormat="1" ht="25" customHeight="1">
      <c r="A164" s="805" t="str">
        <f>AF164</f>
        <v>Monitoring, Transport</v>
      </c>
      <c r="B164" s="2360"/>
      <c r="C164" s="2360"/>
      <c r="D164" s="853"/>
      <c r="E164" s="798"/>
      <c r="F164" s="980"/>
      <c r="G164" s="981"/>
      <c r="H164" s="867"/>
      <c r="I164" s="1841"/>
      <c r="J164" s="867"/>
      <c r="K164" s="867"/>
      <c r="L164" s="867"/>
      <c r="M164" s="2041"/>
      <c r="O164" s="1927"/>
      <c r="P164" s="1935"/>
      <c r="Q164" s="881"/>
      <c r="S164" s="874"/>
      <c r="T164" s="874"/>
      <c r="U164" s="874"/>
      <c r="V164" s="874"/>
      <c r="W164" s="874"/>
      <c r="X164" s="874"/>
      <c r="Y164" s="874"/>
      <c r="Z164" s="926"/>
      <c r="AA164" s="874"/>
      <c r="AB164" s="874"/>
      <c r="AD164" s="848" t="s">
        <v>1162</v>
      </c>
      <c r="AE164" s="849" t="s">
        <v>1255</v>
      </c>
      <c r="AF164" s="364" t="str">
        <f t="shared" ref="AF164" si="76">IF(AD164=0,"",IF($A$1="D",AD164,AE164))</f>
        <v>Monitoring, Transport</v>
      </c>
      <c r="AG164" s="869"/>
      <c r="AH164" s="849"/>
      <c r="AI164" s="2049" t="str">
        <f t="shared" si="74"/>
        <v/>
      </c>
      <c r="AK164" s="2041"/>
    </row>
    <row r="165" spans="1:37" s="868" customFormat="1" ht="36" customHeight="1">
      <c r="A165" s="805" t="str">
        <f>AF165</f>
        <v>Invasive Kreislaufmessungen, Art</v>
      </c>
      <c r="B165" s="2360"/>
      <c r="C165" s="2360"/>
      <c r="D165" s="511"/>
      <c r="E165" s="798" t="str">
        <f>AI165</f>
        <v xml:space="preserve">Kurze Beschreibung, z.B. Drucke, Thermodilution, kontinuierlicher CO, SvO2, PiCCO </v>
      </c>
      <c r="F165" s="980"/>
      <c r="G165" s="981"/>
      <c r="H165" s="867"/>
      <c r="I165" s="1841"/>
      <c r="J165" s="867"/>
      <c r="K165" s="867"/>
      <c r="L165" s="867"/>
      <c r="M165" s="2041"/>
      <c r="O165" s="1927"/>
      <c r="P165" s="1935"/>
      <c r="Q165" s="881"/>
      <c r="S165" s="874"/>
      <c r="T165" s="874"/>
      <c r="U165" s="874"/>
      <c r="V165" s="874"/>
      <c r="W165" s="874"/>
      <c r="X165" s="874"/>
      <c r="Y165" s="874"/>
      <c r="Z165" s="926"/>
      <c r="AA165" s="874"/>
      <c r="AB165" s="874"/>
      <c r="AD165" s="848" t="s">
        <v>1156</v>
      </c>
      <c r="AE165" s="849" t="s">
        <v>1256</v>
      </c>
      <c r="AF165" s="364" t="str">
        <f t="shared" ref="AF165" si="77">IF(AD165=0,"",IF($A$1="D",AD165,AE165))</f>
        <v>Invasive Kreislaufmessungen, Art</v>
      </c>
      <c r="AG165" s="973" t="s">
        <v>1157</v>
      </c>
      <c r="AH165" s="849" t="s">
        <v>1293</v>
      </c>
      <c r="AI165" s="2049" t="str">
        <f t="shared" si="74"/>
        <v xml:space="preserve">Kurze Beschreibung, z.B. Drucke, Thermodilution, kontinuierlicher CO, SvO2, PiCCO </v>
      </c>
      <c r="AK165" s="2041"/>
    </row>
    <row r="166" spans="1:37" s="868" customFormat="1" ht="25" customHeight="1">
      <c r="A166" s="805" t="str">
        <f t="shared" ref="A166:A181" si="78">AF166</f>
        <v>Beatmungsgeräte, am Bett</v>
      </c>
      <c r="B166" s="2360"/>
      <c r="C166" s="2360"/>
      <c r="D166" s="853"/>
      <c r="E166" s="798"/>
      <c r="F166" s="980"/>
      <c r="G166" s="981"/>
      <c r="H166" s="867"/>
      <c r="I166" s="1841"/>
      <c r="J166" s="867"/>
      <c r="K166" s="867"/>
      <c r="L166" s="867"/>
      <c r="M166" s="2041"/>
      <c r="O166" s="1927"/>
      <c r="P166" s="1935"/>
      <c r="Q166" s="881"/>
      <c r="S166" s="874"/>
      <c r="T166" s="874"/>
      <c r="U166" s="874"/>
      <c r="V166" s="874"/>
      <c r="W166" s="874"/>
      <c r="X166" s="874"/>
      <c r="Y166" s="874"/>
      <c r="Z166" s="926"/>
      <c r="AA166" s="874"/>
      <c r="AB166" s="874"/>
      <c r="AD166" s="848" t="s">
        <v>1159</v>
      </c>
      <c r="AE166" s="849" t="s">
        <v>1257</v>
      </c>
      <c r="AF166" s="364" t="str">
        <f t="shared" ref="AF166" si="79">IF(AD166=0,"",IF($A$1="D",AD166,AE166))</f>
        <v>Beatmungsgeräte, am Bett</v>
      </c>
      <c r="AG166" s="973"/>
      <c r="AH166" s="849"/>
      <c r="AI166" s="2049" t="str">
        <f t="shared" si="74"/>
        <v/>
      </c>
      <c r="AK166" s="2041"/>
    </row>
    <row r="167" spans="1:37" s="868" customFormat="1" ht="25" customHeight="1">
      <c r="A167" s="805" t="str">
        <f t="shared" si="78"/>
        <v>Beatmungsgeräte, NIV</v>
      </c>
      <c r="B167" s="2360"/>
      <c r="C167" s="2360"/>
      <c r="D167" s="853"/>
      <c r="E167" s="798"/>
      <c r="F167" s="980"/>
      <c r="G167" s="981"/>
      <c r="H167" s="867"/>
      <c r="I167" s="1841"/>
      <c r="J167" s="867"/>
      <c r="K167" s="867"/>
      <c r="L167" s="867"/>
      <c r="M167" s="2041"/>
      <c r="O167" s="1927"/>
      <c r="P167" s="1935"/>
      <c r="Q167" s="881"/>
      <c r="S167" s="874"/>
      <c r="T167" s="874"/>
      <c r="U167" s="874"/>
      <c r="V167" s="874"/>
      <c r="W167" s="874"/>
      <c r="X167" s="874"/>
      <c r="Y167" s="874"/>
      <c r="Z167" s="926"/>
      <c r="AA167" s="874"/>
      <c r="AB167" s="874"/>
      <c r="AD167" s="848" t="s">
        <v>1163</v>
      </c>
      <c r="AE167" s="849" t="s">
        <v>1258</v>
      </c>
      <c r="AF167" s="364" t="str">
        <f t="shared" ref="AF167" si="80">IF(AD167=0,"",IF($A$1="D",AD167,AE167))</f>
        <v>Beatmungsgeräte, NIV</v>
      </c>
      <c r="AG167" s="973"/>
      <c r="AH167" s="849"/>
      <c r="AI167" s="2049" t="str">
        <f t="shared" ref="AI167" si="81">IF(AG167=0,"",IF($A$1="D",AG167,AH167))</f>
        <v/>
      </c>
      <c r="AK167" s="2041"/>
    </row>
    <row r="168" spans="1:37" s="868" customFormat="1" ht="25" customHeight="1">
      <c r="A168" s="805" t="str">
        <f t="shared" si="78"/>
        <v>Beatmungsgeräte, Transport</v>
      </c>
      <c r="B168" s="2360"/>
      <c r="C168" s="2360"/>
      <c r="D168" s="853"/>
      <c r="E168" s="798"/>
      <c r="F168" s="980"/>
      <c r="G168" s="981"/>
      <c r="H168" s="867"/>
      <c r="I168" s="1841"/>
      <c r="J168" s="867"/>
      <c r="K168" s="867"/>
      <c r="L168" s="867"/>
      <c r="M168" s="2041"/>
      <c r="O168" s="1927"/>
      <c r="P168" s="1935"/>
      <c r="Q168" s="881"/>
      <c r="S168" s="874"/>
      <c r="T168" s="874"/>
      <c r="U168" s="874"/>
      <c r="V168" s="874"/>
      <c r="W168" s="874"/>
      <c r="X168" s="874"/>
      <c r="Y168" s="874"/>
      <c r="Z168" s="926"/>
      <c r="AA168" s="874"/>
      <c r="AB168" s="874"/>
      <c r="AD168" s="848" t="s">
        <v>1160</v>
      </c>
      <c r="AE168" s="849" t="s">
        <v>1259</v>
      </c>
      <c r="AF168" s="364" t="str">
        <f t="shared" ref="AF168:AF169" si="82">IF(AD168=0,"",IF($A$1="D",AD168,AE168))</f>
        <v>Beatmungsgeräte, Transport</v>
      </c>
      <c r="AG168" s="973"/>
      <c r="AH168" s="849"/>
      <c r="AI168" s="2049" t="str">
        <f t="shared" ref="AI168:AI169" si="83">IF(AG168=0,"",IF($A$1="D",AG168,AH168))</f>
        <v/>
      </c>
      <c r="AK168" s="2041"/>
    </row>
    <row r="169" spans="1:37" s="868" customFormat="1" ht="25" customHeight="1">
      <c r="A169" s="805" t="str">
        <f t="shared" si="78"/>
        <v>Defibrillatoren</v>
      </c>
      <c r="B169" s="2360"/>
      <c r="C169" s="2360"/>
      <c r="D169" s="853"/>
      <c r="E169" s="798"/>
      <c r="F169" s="980"/>
      <c r="G169" s="981"/>
      <c r="H169" s="867"/>
      <c r="I169" s="1841"/>
      <c r="J169" s="867"/>
      <c r="K169" s="867"/>
      <c r="L169" s="867"/>
      <c r="M169" s="2041"/>
      <c r="O169" s="1927"/>
      <c r="P169" s="1935"/>
      <c r="Q169" s="881"/>
      <c r="S169" s="874"/>
      <c r="T169" s="874"/>
      <c r="U169" s="874"/>
      <c r="V169" s="874"/>
      <c r="W169" s="874"/>
      <c r="X169" s="874"/>
      <c r="Y169" s="874"/>
      <c r="Z169" s="926"/>
      <c r="AA169" s="874"/>
      <c r="AB169" s="874"/>
      <c r="AD169" s="848" t="s">
        <v>1164</v>
      </c>
      <c r="AE169" s="849" t="s">
        <v>1260</v>
      </c>
      <c r="AF169" s="364" t="str">
        <f t="shared" si="82"/>
        <v>Defibrillatoren</v>
      </c>
      <c r="AG169" s="973"/>
      <c r="AH169" s="849"/>
      <c r="AI169" s="2049" t="str">
        <f t="shared" si="83"/>
        <v/>
      </c>
      <c r="AK169" s="2041"/>
    </row>
    <row r="170" spans="1:37" s="868" customFormat="1" ht="25" customHeight="1">
      <c r="A170" s="805" t="str">
        <f t="shared" si="78"/>
        <v>Herzschrittmacher, endovaskulär-provisorisch</v>
      </c>
      <c r="B170" s="2360"/>
      <c r="C170" s="2360"/>
      <c r="D170" s="853"/>
      <c r="E170" s="798"/>
      <c r="F170" s="980"/>
      <c r="G170" s="981"/>
      <c r="H170" s="867"/>
      <c r="I170" s="1841"/>
      <c r="J170" s="867"/>
      <c r="K170" s="867"/>
      <c r="L170" s="867"/>
      <c r="M170" s="2041"/>
      <c r="O170" s="1927"/>
      <c r="P170" s="1935"/>
      <c r="Q170" s="881"/>
      <c r="S170" s="874"/>
      <c r="T170" s="874"/>
      <c r="U170" s="874"/>
      <c r="V170" s="874"/>
      <c r="W170" s="874"/>
      <c r="X170" s="874"/>
      <c r="Y170" s="874"/>
      <c r="Z170" s="926"/>
      <c r="AA170" s="874"/>
      <c r="AB170" s="874"/>
      <c r="AD170" s="848" t="s">
        <v>1175</v>
      </c>
      <c r="AE170" s="849" t="s">
        <v>1261</v>
      </c>
      <c r="AF170" s="364" t="str">
        <f t="shared" ref="AF170:AF173" si="84">IF(AD170=0,"",IF($A$1="D",AD170,AE170))</f>
        <v>Herzschrittmacher, endovaskulär-provisorisch</v>
      </c>
      <c r="AG170" s="973"/>
      <c r="AH170" s="849"/>
      <c r="AI170" s="2049" t="str">
        <f t="shared" ref="AI170:AI173" si="85">IF(AG170=0,"",IF($A$1="D",AG170,AH170))</f>
        <v/>
      </c>
      <c r="AK170" s="2041"/>
    </row>
    <row r="171" spans="1:37" s="868" customFormat="1" ht="25" customHeight="1">
      <c r="A171" s="805" t="str">
        <f t="shared" si="78"/>
        <v>Herzschrittmacher, extern</v>
      </c>
      <c r="B171" s="2360"/>
      <c r="C171" s="2360"/>
      <c r="D171" s="853"/>
      <c r="E171" s="798"/>
      <c r="F171" s="980"/>
      <c r="G171" s="981"/>
      <c r="H171" s="867"/>
      <c r="I171" s="1841"/>
      <c r="J171" s="867"/>
      <c r="K171" s="867"/>
      <c r="L171" s="867"/>
      <c r="M171" s="2041"/>
      <c r="O171" s="1927"/>
      <c r="P171" s="1935"/>
      <c r="Q171" s="881"/>
      <c r="S171" s="874"/>
      <c r="T171" s="874"/>
      <c r="U171" s="874"/>
      <c r="V171" s="874"/>
      <c r="W171" s="874"/>
      <c r="X171" s="874"/>
      <c r="Y171" s="874"/>
      <c r="Z171" s="926"/>
      <c r="AA171" s="874"/>
      <c r="AB171" s="874"/>
      <c r="AD171" s="848" t="s">
        <v>1176</v>
      </c>
      <c r="AE171" s="849" t="s">
        <v>1262</v>
      </c>
      <c r="AF171" s="364" t="str">
        <f t="shared" ref="AF171" si="86">IF(AD171=0,"",IF($A$1="D",AD171,AE171))</f>
        <v>Herzschrittmacher, extern</v>
      </c>
      <c r="AG171" s="973"/>
      <c r="AH171" s="849"/>
      <c r="AI171" s="2049" t="str">
        <f t="shared" ref="AI171" si="87">IF(AG171=0,"",IF($A$1="D",AG171,AH171))</f>
        <v/>
      </c>
      <c r="AK171" s="2041"/>
    </row>
    <row r="172" spans="1:37" s="868" customFormat="1" ht="25" customHeight="1">
      <c r="A172" s="805" t="str">
        <f t="shared" si="78"/>
        <v>Infusionspumpen</v>
      </c>
      <c r="B172" s="2360"/>
      <c r="C172" s="2360"/>
      <c r="D172" s="853"/>
      <c r="E172" s="798"/>
      <c r="F172" s="980"/>
      <c r="G172" s="981"/>
      <c r="H172" s="867"/>
      <c r="I172" s="1841"/>
      <c r="J172" s="867"/>
      <c r="K172" s="867"/>
      <c r="L172" s="867"/>
      <c r="M172" s="2041"/>
      <c r="O172" s="1927"/>
      <c r="P172" s="1935"/>
      <c r="Q172" s="881"/>
      <c r="S172" s="874"/>
      <c r="T172" s="874"/>
      <c r="U172" s="874"/>
      <c r="V172" s="874"/>
      <c r="W172" s="874"/>
      <c r="X172" s="874"/>
      <c r="Y172" s="874"/>
      <c r="Z172" s="926"/>
      <c r="AA172" s="874"/>
      <c r="AB172" s="874"/>
      <c r="AD172" s="848" t="s">
        <v>1165</v>
      </c>
      <c r="AE172" s="849" t="s">
        <v>1263</v>
      </c>
      <c r="AF172" s="364" t="str">
        <f t="shared" si="84"/>
        <v>Infusionspumpen</v>
      </c>
      <c r="AG172" s="973"/>
      <c r="AH172" s="849"/>
      <c r="AI172" s="2049" t="str">
        <f t="shared" si="85"/>
        <v/>
      </c>
      <c r="AK172" s="2041"/>
    </row>
    <row r="173" spans="1:37" s="868" customFormat="1" ht="25" customHeight="1">
      <c r="A173" s="805" t="str">
        <f t="shared" si="78"/>
        <v>Perfusoren</v>
      </c>
      <c r="B173" s="2360"/>
      <c r="C173" s="2360"/>
      <c r="D173" s="853"/>
      <c r="E173" s="798"/>
      <c r="F173" s="980"/>
      <c r="G173" s="981"/>
      <c r="H173" s="867"/>
      <c r="I173" s="1841"/>
      <c r="J173" s="867"/>
      <c r="K173" s="867"/>
      <c r="L173" s="867"/>
      <c r="M173" s="2041"/>
      <c r="O173" s="1927"/>
      <c r="P173" s="1935"/>
      <c r="Q173" s="881"/>
      <c r="S173" s="874"/>
      <c r="T173" s="874"/>
      <c r="U173" s="874"/>
      <c r="V173" s="874"/>
      <c r="W173" s="874"/>
      <c r="X173" s="874"/>
      <c r="Y173" s="874"/>
      <c r="Z173" s="926"/>
      <c r="AA173" s="874"/>
      <c r="AB173" s="874"/>
      <c r="AD173" s="848" t="s">
        <v>1166</v>
      </c>
      <c r="AE173" s="849" t="s">
        <v>1267</v>
      </c>
      <c r="AF173" s="364" t="str">
        <f t="shared" si="84"/>
        <v>Perfusoren</v>
      </c>
      <c r="AG173" s="973"/>
      <c r="AH173" s="849"/>
      <c r="AI173" s="2049" t="str">
        <f t="shared" si="85"/>
        <v/>
      </c>
      <c r="AK173" s="2041"/>
    </row>
    <row r="174" spans="1:37" s="868" customFormat="1" ht="25" customHeight="1">
      <c r="A174" s="805" t="str">
        <f t="shared" si="78"/>
        <v>Ernährungspumpen</v>
      </c>
      <c r="B174" s="2360"/>
      <c r="C174" s="2360"/>
      <c r="D174" s="853"/>
      <c r="E174" s="798"/>
      <c r="F174" s="980"/>
      <c r="G174" s="981"/>
      <c r="H174" s="867"/>
      <c r="I174" s="1841"/>
      <c r="J174" s="867"/>
      <c r="K174" s="867"/>
      <c r="L174" s="867"/>
      <c r="M174" s="2041"/>
      <c r="O174" s="1927"/>
      <c r="P174" s="1935"/>
      <c r="Q174" s="881"/>
      <c r="S174" s="874"/>
      <c r="T174" s="874"/>
      <c r="U174" s="874"/>
      <c r="V174" s="874"/>
      <c r="W174" s="874"/>
      <c r="X174" s="874"/>
      <c r="Y174" s="874"/>
      <c r="Z174" s="926"/>
      <c r="AA174" s="874"/>
      <c r="AB174" s="874"/>
      <c r="AD174" s="848" t="s">
        <v>1167</v>
      </c>
      <c r="AE174" s="849" t="s">
        <v>1264</v>
      </c>
      <c r="AF174" s="364" t="str">
        <f t="shared" ref="AF174:AF176" si="88">IF(AD174=0,"",IF($A$1="D",AD174,AE174))</f>
        <v>Ernährungspumpen</v>
      </c>
      <c r="AG174" s="973"/>
      <c r="AH174" s="849"/>
      <c r="AI174" s="2049" t="str">
        <f t="shared" ref="AI174:AI176" si="89">IF(AG174=0,"",IF($A$1="D",AG174,AH174))</f>
        <v/>
      </c>
      <c r="AK174" s="2041"/>
    </row>
    <row r="175" spans="1:37" s="868" customFormat="1" ht="25" customHeight="1">
      <c r="A175" s="805" t="str">
        <f t="shared" si="78"/>
        <v>Hämodialyse</v>
      </c>
      <c r="B175" s="2360"/>
      <c r="C175" s="2360"/>
      <c r="D175" s="853"/>
      <c r="E175" s="798"/>
      <c r="F175" s="980"/>
      <c r="G175" s="981"/>
      <c r="H175" s="867"/>
      <c r="I175" s="1841"/>
      <c r="J175" s="867"/>
      <c r="K175" s="867"/>
      <c r="L175" s="867"/>
      <c r="M175" s="2041"/>
      <c r="O175" s="1927"/>
      <c r="P175" s="1935"/>
      <c r="Q175" s="881"/>
      <c r="S175" s="874"/>
      <c r="T175" s="874"/>
      <c r="U175" s="874"/>
      <c r="V175" s="874"/>
      <c r="W175" s="874"/>
      <c r="X175" s="874"/>
      <c r="Y175" s="874"/>
      <c r="Z175" s="926"/>
      <c r="AA175" s="874"/>
      <c r="AB175" s="874"/>
      <c r="AD175" s="848" t="s">
        <v>1168</v>
      </c>
      <c r="AE175" s="849" t="s">
        <v>1265</v>
      </c>
      <c r="AF175" s="364" t="str">
        <f t="shared" si="88"/>
        <v>Hämodialyse</v>
      </c>
      <c r="AG175" s="973"/>
      <c r="AH175" s="849"/>
      <c r="AI175" s="2049" t="str">
        <f t="shared" si="89"/>
        <v/>
      </c>
      <c r="AK175" s="2041"/>
    </row>
    <row r="176" spans="1:37" s="868" customFormat="1" ht="25" customHeight="1">
      <c r="A176" s="805" t="str">
        <f t="shared" si="78"/>
        <v>Hämofiltration</v>
      </c>
      <c r="B176" s="2360"/>
      <c r="C176" s="2360"/>
      <c r="D176" s="853"/>
      <c r="E176" s="798"/>
      <c r="F176" s="980"/>
      <c r="G176" s="981"/>
      <c r="H176" s="867"/>
      <c r="I176" s="1841"/>
      <c r="J176" s="867"/>
      <c r="K176" s="867"/>
      <c r="L176" s="867"/>
      <c r="M176" s="2041"/>
      <c r="O176" s="1927"/>
      <c r="P176" s="1935"/>
      <c r="Q176" s="881"/>
      <c r="S176" s="874"/>
      <c r="T176" s="874"/>
      <c r="U176" s="874"/>
      <c r="V176" s="874"/>
      <c r="W176" s="874"/>
      <c r="X176" s="874"/>
      <c r="Y176" s="874"/>
      <c r="Z176" s="926"/>
      <c r="AA176" s="874"/>
      <c r="AB176" s="874"/>
      <c r="AD176" s="848" t="s">
        <v>1169</v>
      </c>
      <c r="AE176" s="849" t="s">
        <v>1266</v>
      </c>
      <c r="AF176" s="364" t="str">
        <f t="shared" si="88"/>
        <v>Hämofiltration</v>
      </c>
      <c r="AG176" s="973"/>
      <c r="AH176" s="849"/>
      <c r="AI176" s="2049" t="str">
        <f t="shared" si="89"/>
        <v/>
      </c>
      <c r="AK176" s="2041"/>
    </row>
    <row r="177" spans="1:37" s="868" customFormat="1" ht="25" customHeight="1">
      <c r="A177" s="805" t="str">
        <f t="shared" si="78"/>
        <v>Bronchoskop</v>
      </c>
      <c r="B177" s="2360"/>
      <c r="C177" s="2360"/>
      <c r="D177" s="853"/>
      <c r="E177" s="798"/>
      <c r="F177" s="980"/>
      <c r="G177" s="981"/>
      <c r="H177" s="867"/>
      <c r="I177" s="1841"/>
      <c r="J177" s="867"/>
      <c r="K177" s="867"/>
      <c r="L177" s="867"/>
      <c r="M177" s="2041"/>
      <c r="O177" s="1927"/>
      <c r="P177" s="1935"/>
      <c r="Q177" s="881"/>
      <c r="S177" s="874"/>
      <c r="T177" s="874"/>
      <c r="U177" s="874"/>
      <c r="V177" s="874"/>
      <c r="W177" s="874"/>
      <c r="X177" s="874"/>
      <c r="Y177" s="874"/>
      <c r="Z177" s="926"/>
      <c r="AA177" s="874"/>
      <c r="AB177" s="874"/>
      <c r="AD177" s="848" t="s">
        <v>1170</v>
      </c>
      <c r="AE177" s="849" t="s">
        <v>1268</v>
      </c>
      <c r="AF177" s="364" t="str">
        <f t="shared" ref="AF177:AF179" si="90">IF(AD177=0,"",IF($A$1="D",AD177,AE177))</f>
        <v>Bronchoskop</v>
      </c>
      <c r="AG177" s="973"/>
      <c r="AH177" s="849"/>
      <c r="AI177" s="2049" t="str">
        <f t="shared" ref="AI177:AI179" si="91">IF(AG177=0,"",IF($A$1="D",AG177,AH177))</f>
        <v/>
      </c>
      <c r="AK177" s="2041"/>
    </row>
    <row r="178" spans="1:37" s="868" customFormat="1" ht="25" customHeight="1">
      <c r="A178" s="805" t="str">
        <f t="shared" si="78"/>
        <v>Intraaortale Ballonpumpe</v>
      </c>
      <c r="B178" s="2360"/>
      <c r="C178" s="2360"/>
      <c r="D178" s="853"/>
      <c r="E178" s="798"/>
      <c r="F178" s="980"/>
      <c r="G178" s="981"/>
      <c r="H178" s="867"/>
      <c r="I178" s="1841"/>
      <c r="J178" s="867"/>
      <c r="K178" s="867"/>
      <c r="L178" s="867"/>
      <c r="M178" s="2041"/>
      <c r="O178" s="1927"/>
      <c r="P178" s="1935"/>
      <c r="Q178" s="881"/>
      <c r="S178" s="874"/>
      <c r="T178" s="874"/>
      <c r="U178" s="874"/>
      <c r="V178" s="874"/>
      <c r="W178" s="874"/>
      <c r="X178" s="874"/>
      <c r="Y178" s="874"/>
      <c r="Z178" s="926"/>
      <c r="AA178" s="874"/>
      <c r="AB178" s="874"/>
      <c r="AD178" s="848" t="s">
        <v>1171</v>
      </c>
      <c r="AE178" s="849" t="s">
        <v>1269</v>
      </c>
      <c r="AF178" s="364" t="str">
        <f t="shared" si="90"/>
        <v>Intraaortale Ballonpumpe</v>
      </c>
      <c r="AG178" s="973"/>
      <c r="AH178" s="849"/>
      <c r="AI178" s="2049" t="str">
        <f t="shared" si="91"/>
        <v/>
      </c>
      <c r="AK178" s="2041"/>
    </row>
    <row r="179" spans="1:37" s="868" customFormat="1" ht="25" customHeight="1">
      <c r="A179" s="805" t="str">
        <f t="shared" si="78"/>
        <v>ECMO</v>
      </c>
      <c r="B179" s="2360"/>
      <c r="C179" s="2360"/>
      <c r="D179" s="853"/>
      <c r="E179" s="798"/>
      <c r="F179" s="980"/>
      <c r="G179" s="981"/>
      <c r="H179" s="867"/>
      <c r="I179" s="1841"/>
      <c r="J179" s="867"/>
      <c r="K179" s="867"/>
      <c r="L179" s="867"/>
      <c r="M179" s="2041"/>
      <c r="O179" s="1927"/>
      <c r="P179" s="1935"/>
      <c r="Q179" s="881"/>
      <c r="S179" s="874"/>
      <c r="T179" s="874"/>
      <c r="U179" s="874"/>
      <c r="V179" s="874"/>
      <c r="W179" s="874"/>
      <c r="X179" s="874"/>
      <c r="Y179" s="874"/>
      <c r="Z179" s="926"/>
      <c r="AA179" s="874"/>
      <c r="AB179" s="874"/>
      <c r="AD179" s="848" t="s">
        <v>1172</v>
      </c>
      <c r="AE179" s="849" t="s">
        <v>1172</v>
      </c>
      <c r="AF179" s="364" t="str">
        <f t="shared" si="90"/>
        <v>ECMO</v>
      </c>
      <c r="AG179" s="973"/>
      <c r="AH179" s="849"/>
      <c r="AI179" s="2049" t="str">
        <f t="shared" si="91"/>
        <v/>
      </c>
      <c r="AK179" s="2041"/>
    </row>
    <row r="180" spans="1:37" s="868" customFormat="1" ht="25" customHeight="1">
      <c r="A180" s="805" t="str">
        <f t="shared" si="78"/>
        <v>Ultraschall</v>
      </c>
      <c r="B180" s="2360"/>
      <c r="C180" s="2360"/>
      <c r="D180" s="853"/>
      <c r="E180" s="798"/>
      <c r="F180" s="980"/>
      <c r="G180" s="981"/>
      <c r="H180" s="867"/>
      <c r="I180" s="1841"/>
      <c r="J180" s="867"/>
      <c r="K180" s="867"/>
      <c r="L180" s="867"/>
      <c r="M180" s="2041"/>
      <c r="O180" s="1927"/>
      <c r="P180" s="1935"/>
      <c r="Q180" s="881"/>
      <c r="S180" s="874"/>
      <c r="T180" s="874"/>
      <c r="U180" s="874"/>
      <c r="V180" s="874"/>
      <c r="W180" s="874"/>
      <c r="X180" s="874"/>
      <c r="Y180" s="874"/>
      <c r="Z180" s="926"/>
      <c r="AA180" s="874"/>
      <c r="AB180" s="874"/>
      <c r="AD180" s="848" t="s">
        <v>1173</v>
      </c>
      <c r="AE180" s="849" t="s">
        <v>1271</v>
      </c>
      <c r="AF180" s="364" t="str">
        <f t="shared" ref="AF180" si="92">IF(AD180=0,"",IF($A$1="D",AD180,AE180))</f>
        <v>Ultraschall</v>
      </c>
      <c r="AG180" s="973"/>
      <c r="AH180" s="849"/>
      <c r="AI180" s="2049" t="str">
        <f t="shared" ref="AI180" si="93">IF(AG180=0,"",IF($A$1="D",AG180,AH180))</f>
        <v/>
      </c>
      <c r="AK180" s="2041"/>
    </row>
    <row r="181" spans="1:37" s="868" customFormat="1" ht="25" customHeight="1">
      <c r="A181" s="805" t="str">
        <f t="shared" si="78"/>
        <v>PDMS</v>
      </c>
      <c r="B181" s="2360"/>
      <c r="C181" s="2360"/>
      <c r="D181" s="1158"/>
      <c r="E181" s="798"/>
      <c r="F181" s="980"/>
      <c r="G181" s="981"/>
      <c r="H181" s="867"/>
      <c r="I181" s="1841"/>
      <c r="J181" s="867"/>
      <c r="K181" s="867"/>
      <c r="L181" s="867"/>
      <c r="M181" s="2041"/>
      <c r="O181" s="1927"/>
      <c r="P181" s="1935"/>
      <c r="Q181" s="881"/>
      <c r="S181" s="874"/>
      <c r="T181" s="874"/>
      <c r="U181" s="874"/>
      <c r="V181" s="874"/>
      <c r="W181" s="874"/>
      <c r="X181" s="874"/>
      <c r="Y181" s="874"/>
      <c r="Z181" s="926"/>
      <c r="AA181" s="874"/>
      <c r="AB181" s="874"/>
      <c r="AD181" s="848" t="s">
        <v>1174</v>
      </c>
      <c r="AE181" s="849" t="s">
        <v>1174</v>
      </c>
      <c r="AF181" s="364" t="str">
        <f t="shared" ref="AF181:AF184" si="94">IF(AD181=0,"",IF($A$1="D",AD181,AE181))</f>
        <v>PDMS</v>
      </c>
      <c r="AG181" s="973"/>
      <c r="AH181" s="849"/>
      <c r="AI181" s="2049" t="str">
        <f t="shared" ref="AI181" si="95">IF(AG181=0,"",IF($A$1="D",AG181,AH181))</f>
        <v/>
      </c>
      <c r="AK181" s="2041"/>
    </row>
    <row r="182" spans="1:37" s="868" customFormat="1" ht="52" customHeight="1">
      <c r="A182" s="805" t="str">
        <f>AF182</f>
        <v>Allgemeine Bemerkungen zu Geräten / Andere Geräte</v>
      </c>
      <c r="B182" s="2360"/>
      <c r="C182" s="2360"/>
      <c r="D182" s="511"/>
      <c r="E182" s="798" t="str">
        <f>AI182</f>
        <v>Freier Text</v>
      </c>
      <c r="F182" s="980"/>
      <c r="G182" s="981"/>
      <c r="H182" s="867"/>
      <c r="I182" s="1841"/>
      <c r="J182" s="867"/>
      <c r="K182" s="867"/>
      <c r="L182" s="867"/>
      <c r="M182" s="2041"/>
      <c r="O182" s="1927"/>
      <c r="P182" s="1935"/>
      <c r="Q182" s="881"/>
      <c r="S182" s="874"/>
      <c r="T182" s="874"/>
      <c r="U182" s="874"/>
      <c r="V182" s="874"/>
      <c r="W182" s="874"/>
      <c r="X182" s="874"/>
      <c r="Y182" s="874"/>
      <c r="Z182" s="926"/>
      <c r="AA182" s="874"/>
      <c r="AB182" s="874"/>
      <c r="AD182" s="848" t="s">
        <v>1181</v>
      </c>
      <c r="AE182" s="849" t="s">
        <v>1270</v>
      </c>
      <c r="AF182" s="364" t="str">
        <f t="shared" si="94"/>
        <v>Allgemeine Bemerkungen zu Geräten / Andere Geräte</v>
      </c>
      <c r="AG182" s="1040" t="s">
        <v>807</v>
      </c>
      <c r="AH182" s="401" t="s">
        <v>1294</v>
      </c>
      <c r="AI182" s="2049" t="str">
        <f>IF(AG182=0,"",IF($A$1="D",AG182,AH182))</f>
        <v>Freier Text</v>
      </c>
      <c r="AK182" s="2041"/>
    </row>
    <row r="183" spans="1:37" ht="37">
      <c r="E183" s="1034" t="str">
        <f>AF183</f>
        <v>Ende des Formulars. Der Antrag kann nun als pdf gespeichert (Dateiname s. Reiter PROZEDUR) und zur Unterschrift ausgedruckt werden.</v>
      </c>
      <c r="AD183" s="400" t="s">
        <v>2550</v>
      </c>
      <c r="AE183" s="401" t="s">
        <v>2206</v>
      </c>
      <c r="AF183" s="364" t="str">
        <f t="shared" si="94"/>
        <v>Ende des Formulars. Der Antrag kann nun als pdf gespeichert (Dateiname s. Reiter PROZEDUR) und zur Unterschrift ausgedruckt werden.</v>
      </c>
      <c r="AG183" s="400"/>
      <c r="AH183" s="401"/>
      <c r="AI183" s="2051" t="str">
        <f>IF(AG183=0,"",IF($A$1="D",AG183,AH183))</f>
        <v/>
      </c>
    </row>
    <row r="184" spans="1:37" ht="39" customHeight="1">
      <c r="E184" s="1413" t="str">
        <f>AF184</f>
        <v>Insgesamt 6 Seiten. Falls Probleme im Format bitte korrigieren: 
Seitenorientierung "Portrait", Skalierung ca. 80%</v>
      </c>
      <c r="AD184" s="400" t="s">
        <v>2047</v>
      </c>
      <c r="AE184" s="401" t="s">
        <v>2048</v>
      </c>
      <c r="AF184" s="364" t="str">
        <f t="shared" si="94"/>
        <v>Insgesamt 6 Seiten. Falls Probleme im Format bitte korrigieren: 
Seitenorientierung "Portrait", Skalierung ca. 80%</v>
      </c>
      <c r="AG184" s="400"/>
      <c r="AH184" s="401"/>
      <c r="AI184" s="2051"/>
    </row>
    <row r="185" spans="1:37" ht="17.25" customHeight="1">
      <c r="A185" s="2378" t="str">
        <f>AF185</f>
        <v>Die ärztliche und pflegerische Leitung der Intensivstation bestätigen mit ihrer Unterschrift die Richtigkeit der Daten:</v>
      </c>
      <c r="B185" s="2378"/>
      <c r="C185" s="2378"/>
      <c r="D185" s="2378"/>
      <c r="AD185" s="400" t="s">
        <v>721</v>
      </c>
      <c r="AE185" s="401" t="s">
        <v>722</v>
      </c>
      <c r="AF185" s="364" t="str">
        <f>IF(AD185=0,"",IF($A$1="D",AD185,AE185))</f>
        <v>Die ärztliche und pflegerische Leitung der Intensivstation bestätigen mit ihrer Unterschrift die Richtigkeit der Daten:</v>
      </c>
      <c r="AG185" s="400"/>
      <c r="AH185" s="401"/>
      <c r="AI185" s="2055"/>
    </row>
    <row r="186" spans="1:37" ht="75.75" customHeight="1">
      <c r="A186" s="163" t="str">
        <f>B12&amp;", "&amp;S10</f>
        <v>, 00.01.1900</v>
      </c>
      <c r="B186" s="797">
        <f>B109</f>
        <v>0</v>
      </c>
      <c r="C186" s="2382">
        <f>B79</f>
        <v>0</v>
      </c>
      <c r="D186" s="2382"/>
      <c r="AG186" s="400"/>
      <c r="AH186" s="401"/>
      <c r="AI186" s="2055"/>
    </row>
    <row r="187" spans="1:37">
      <c r="B187" s="511" t="str">
        <f>AF187</f>
        <v>Leitung Pflege</v>
      </c>
      <c r="D187" s="1031" t="str">
        <f>A77</f>
        <v>Ärztliche Leitung</v>
      </c>
      <c r="AD187" s="400" t="s">
        <v>671</v>
      </c>
      <c r="AE187" s="401" t="s">
        <v>951</v>
      </c>
      <c r="AF187" s="364" t="str">
        <f>IF(AD187=0,"",IF($A$1="D",AD187,AE187))</f>
        <v>Leitung Pflege</v>
      </c>
      <c r="AG187" s="400"/>
      <c r="AH187" s="401"/>
      <c r="AI187" s="2055"/>
    </row>
    <row r="188" spans="1:37">
      <c r="AD188" s="400"/>
      <c r="AE188" s="401"/>
      <c r="AF188" s="399"/>
      <c r="AG188" s="400"/>
      <c r="AH188" s="401"/>
      <c r="AI188" s="2055"/>
    </row>
    <row r="189" spans="1:37">
      <c r="A189"/>
      <c r="B189"/>
      <c r="C189"/>
      <c r="D189"/>
      <c r="E189"/>
      <c r="F189" s="982"/>
      <c r="G189" s="983"/>
      <c r="H189"/>
      <c r="I189" s="1843"/>
      <c r="J189"/>
      <c r="K189"/>
      <c r="L189"/>
      <c r="O189" s="1933"/>
      <c r="P189" s="1938"/>
      <c r="Q189" s="1923"/>
      <c r="S189"/>
      <c r="T189"/>
      <c r="U189" s="464"/>
      <c r="V189"/>
      <c r="W189"/>
      <c r="X189"/>
      <c r="Y189"/>
      <c r="Z189" s="270"/>
      <c r="AA189"/>
      <c r="AB189"/>
      <c r="AD189" s="400"/>
      <c r="AE189" s="401"/>
      <c r="AF189" s="399"/>
      <c r="AG189" s="400"/>
      <c r="AH189" s="401"/>
      <c r="AI189" s="2055"/>
    </row>
    <row r="190" spans="1:37">
      <c r="A190"/>
      <c r="B190"/>
      <c r="C190"/>
      <c r="D190"/>
      <c r="E190"/>
      <c r="F190" s="982"/>
      <c r="G190" s="983"/>
      <c r="H190"/>
      <c r="I190" s="1843"/>
      <c r="J190"/>
      <c r="K190"/>
      <c r="L190"/>
      <c r="O190" s="1933"/>
      <c r="P190" s="1938"/>
      <c r="Q190" s="1923"/>
      <c r="S190"/>
      <c r="T190"/>
      <c r="U190" s="464"/>
      <c r="V190"/>
      <c r="W190"/>
      <c r="X190"/>
      <c r="Y190"/>
      <c r="Z190" s="270"/>
      <c r="AA190"/>
      <c r="AB190"/>
      <c r="AD190" s="400"/>
      <c r="AE190" s="401"/>
      <c r="AF190" s="399"/>
      <c r="AG190" s="400"/>
      <c r="AH190" s="401"/>
      <c r="AI190" s="2055"/>
    </row>
    <row r="191" spans="1:37">
      <c r="A191"/>
      <c r="B191"/>
      <c r="C191"/>
      <c r="D191"/>
      <c r="E191"/>
      <c r="F191" s="982"/>
      <c r="G191" s="983"/>
      <c r="H191"/>
      <c r="I191" s="1843"/>
      <c r="J191"/>
      <c r="K191"/>
      <c r="L191"/>
      <c r="O191" s="1933"/>
      <c r="P191" s="1938"/>
      <c r="Q191" s="1923"/>
      <c r="S191"/>
      <c r="T191"/>
      <c r="U191" s="464"/>
      <c r="V191"/>
      <c r="W191"/>
      <c r="X191"/>
      <c r="Y191"/>
      <c r="Z191" s="270"/>
      <c r="AA191"/>
      <c r="AB191"/>
      <c r="AD191" s="400"/>
      <c r="AE191" s="401"/>
      <c r="AF191" s="399"/>
      <c r="AG191" s="400"/>
      <c r="AH191" s="401"/>
      <c r="AI191" s="2055"/>
    </row>
    <row r="192" spans="1:37">
      <c r="A192"/>
      <c r="B192"/>
      <c r="C192"/>
      <c r="D192"/>
      <c r="E192"/>
      <c r="F192" s="982"/>
      <c r="G192" s="983"/>
      <c r="H192"/>
      <c r="I192" s="1843"/>
      <c r="J192"/>
      <c r="K192"/>
      <c r="L192"/>
      <c r="O192" s="1933"/>
      <c r="P192" s="1938"/>
      <c r="Q192" s="1923"/>
      <c r="S192"/>
      <c r="T192"/>
      <c r="U192" s="464"/>
      <c r="V192"/>
      <c r="W192"/>
      <c r="X192"/>
      <c r="Y192"/>
      <c r="Z192" s="270"/>
      <c r="AA192"/>
      <c r="AB192"/>
      <c r="AD192" s="400"/>
      <c r="AE192" s="401"/>
      <c r="AF192" s="399"/>
      <c r="AG192" s="400"/>
      <c r="AH192" s="401"/>
      <c r="AI192" s="2055"/>
    </row>
    <row r="193" spans="1:35">
      <c r="A193"/>
      <c r="B193"/>
      <c r="C193"/>
      <c r="D193"/>
      <c r="E193"/>
      <c r="F193" s="982"/>
      <c r="G193" s="983"/>
      <c r="H193"/>
      <c r="I193" s="1843"/>
      <c r="J193"/>
      <c r="K193"/>
      <c r="L193"/>
      <c r="O193" s="1933"/>
      <c r="P193" s="1938"/>
      <c r="Q193" s="1923"/>
      <c r="S193"/>
      <c r="T193"/>
      <c r="U193" s="464"/>
      <c r="V193"/>
      <c r="W193"/>
      <c r="X193"/>
      <c r="Y193"/>
      <c r="Z193" s="270"/>
      <c r="AA193"/>
      <c r="AB193"/>
      <c r="AD193" s="400"/>
      <c r="AE193" s="401"/>
      <c r="AF193" s="399"/>
      <c r="AG193" s="400"/>
      <c r="AH193" s="401"/>
      <c r="AI193" s="2055"/>
    </row>
    <row r="194" spans="1:35">
      <c r="A194"/>
      <c r="B194"/>
      <c r="C194"/>
      <c r="D194"/>
      <c r="E194"/>
      <c r="F194" s="982"/>
      <c r="G194" s="983"/>
      <c r="H194"/>
      <c r="I194" s="1843"/>
      <c r="J194"/>
      <c r="K194"/>
      <c r="L194"/>
      <c r="O194" s="1933"/>
      <c r="P194" s="1938"/>
      <c r="Q194" s="1923"/>
      <c r="S194"/>
      <c r="T194"/>
      <c r="U194" s="464"/>
      <c r="V194"/>
      <c r="W194"/>
      <c r="X194"/>
      <c r="Y194"/>
      <c r="Z194" s="270"/>
      <c r="AA194"/>
      <c r="AB194"/>
      <c r="AD194" s="400"/>
      <c r="AE194" s="401"/>
      <c r="AF194" s="399"/>
      <c r="AG194" s="400"/>
      <c r="AH194" s="401"/>
      <c r="AI194" s="2055"/>
    </row>
    <row r="195" spans="1:35">
      <c r="A195"/>
      <c r="B195"/>
      <c r="C195"/>
      <c r="D195"/>
      <c r="E195"/>
      <c r="F195" s="982"/>
      <c r="G195" s="983"/>
      <c r="H195"/>
      <c r="I195" s="1843"/>
      <c r="J195"/>
      <c r="K195"/>
      <c r="L195"/>
      <c r="O195" s="1933"/>
      <c r="P195" s="1938"/>
      <c r="Q195" s="1923"/>
      <c r="S195"/>
      <c r="T195"/>
      <c r="U195" s="464"/>
      <c r="V195"/>
      <c r="W195"/>
      <c r="X195"/>
      <c r="Y195"/>
      <c r="Z195" s="270"/>
      <c r="AA195"/>
      <c r="AB195"/>
      <c r="AD195" s="400"/>
      <c r="AE195" s="401"/>
      <c r="AF195" s="399"/>
      <c r="AG195" s="400"/>
      <c r="AH195" s="401"/>
      <c r="AI195" s="2055"/>
    </row>
    <row r="196" spans="1:35">
      <c r="A196"/>
      <c r="B196"/>
      <c r="C196"/>
      <c r="D196"/>
      <c r="E196"/>
      <c r="F196" s="982"/>
      <c r="G196" s="983"/>
      <c r="H196"/>
      <c r="I196" s="1843"/>
      <c r="J196"/>
      <c r="K196"/>
      <c r="L196"/>
      <c r="O196" s="1933"/>
      <c r="P196" s="1938"/>
      <c r="Q196" s="1923"/>
      <c r="S196"/>
      <c r="T196"/>
      <c r="U196" s="464"/>
      <c r="V196"/>
      <c r="W196"/>
      <c r="X196"/>
      <c r="Y196"/>
      <c r="Z196" s="270"/>
      <c r="AA196"/>
      <c r="AB196"/>
      <c r="AD196" s="400"/>
      <c r="AE196" s="401"/>
      <c r="AF196" s="399"/>
      <c r="AG196" s="400"/>
      <c r="AH196" s="401"/>
      <c r="AI196" s="2055"/>
    </row>
    <row r="197" spans="1:35">
      <c r="A197"/>
      <c r="B197"/>
      <c r="C197"/>
      <c r="D197"/>
      <c r="E197"/>
      <c r="F197" s="982"/>
      <c r="G197" s="983"/>
      <c r="H197"/>
      <c r="I197" s="1843"/>
      <c r="J197"/>
      <c r="K197"/>
      <c r="L197"/>
      <c r="O197" s="1933"/>
      <c r="P197" s="1938"/>
      <c r="Q197" s="1923"/>
      <c r="S197"/>
      <c r="T197"/>
      <c r="U197" s="464"/>
      <c r="V197"/>
      <c r="W197"/>
      <c r="X197"/>
      <c r="Y197"/>
      <c r="Z197" s="270"/>
      <c r="AA197"/>
      <c r="AB197"/>
      <c r="AF197" s="399"/>
      <c r="AI197" s="2055"/>
    </row>
    <row r="198" spans="1:35">
      <c r="A198"/>
      <c r="B198"/>
      <c r="C198"/>
      <c r="D198"/>
      <c r="E198"/>
      <c r="F198" s="982"/>
      <c r="G198" s="983"/>
      <c r="H198"/>
      <c r="I198" s="1843"/>
      <c r="J198"/>
      <c r="K198"/>
      <c r="L198"/>
      <c r="O198" s="1933"/>
      <c r="P198" s="1938"/>
      <c r="Q198" s="1923"/>
      <c r="S198"/>
      <c r="T198"/>
      <c r="U198" s="464"/>
      <c r="V198"/>
      <c r="W198"/>
      <c r="X198"/>
      <c r="Y198"/>
      <c r="Z198" s="270"/>
      <c r="AA198"/>
      <c r="AB198"/>
      <c r="AF198" s="399"/>
      <c r="AI198" s="2055"/>
    </row>
    <row r="199" spans="1:35">
      <c r="A199"/>
      <c r="B199"/>
      <c r="C199"/>
      <c r="D199"/>
      <c r="E199"/>
      <c r="F199" s="982"/>
      <c r="G199" s="983"/>
      <c r="H199"/>
      <c r="I199" s="1843"/>
      <c r="J199"/>
      <c r="K199"/>
      <c r="L199"/>
      <c r="O199" s="1933"/>
      <c r="P199" s="1938"/>
      <c r="Q199" s="1923"/>
      <c r="S199"/>
      <c r="T199"/>
      <c r="U199" s="464"/>
      <c r="V199"/>
      <c r="W199"/>
      <c r="X199"/>
      <c r="Y199"/>
      <c r="Z199" s="270"/>
      <c r="AA199"/>
      <c r="AB199"/>
      <c r="AD199" s="400"/>
      <c r="AE199" s="401"/>
      <c r="AF199" s="399"/>
      <c r="AG199" s="400"/>
      <c r="AH199" s="401"/>
      <c r="AI199" s="2055"/>
    </row>
    <row r="200" spans="1:35">
      <c r="A200"/>
      <c r="B200"/>
      <c r="C200"/>
      <c r="D200"/>
      <c r="E200"/>
      <c r="F200" s="982"/>
      <c r="G200" s="983"/>
      <c r="H200"/>
      <c r="I200" s="1843"/>
      <c r="J200"/>
      <c r="K200"/>
      <c r="L200"/>
      <c r="O200" s="1933"/>
      <c r="P200" s="1938"/>
      <c r="Q200" s="1923"/>
      <c r="S200"/>
      <c r="T200"/>
      <c r="U200" s="464"/>
      <c r="V200"/>
      <c r="W200"/>
      <c r="X200"/>
      <c r="Y200"/>
      <c r="Z200" s="270"/>
      <c r="AA200"/>
      <c r="AB200"/>
      <c r="AD200" s="400"/>
      <c r="AE200" s="401"/>
      <c r="AF200" s="399"/>
      <c r="AG200" s="400"/>
      <c r="AH200" s="401"/>
      <c r="AI200" s="2055"/>
    </row>
    <row r="201" spans="1:35">
      <c r="A201"/>
      <c r="B201"/>
      <c r="C201"/>
      <c r="D201"/>
      <c r="E201"/>
      <c r="F201" s="982"/>
      <c r="G201" s="983"/>
      <c r="H201"/>
      <c r="I201" s="1843"/>
      <c r="J201"/>
      <c r="K201"/>
      <c r="L201"/>
      <c r="O201" s="1933"/>
      <c r="P201" s="1938"/>
      <c r="Q201" s="1923"/>
      <c r="S201"/>
      <c r="T201"/>
      <c r="U201" s="464"/>
      <c r="V201"/>
      <c r="W201"/>
      <c r="X201"/>
      <c r="Y201"/>
      <c r="Z201" s="270"/>
      <c r="AA201"/>
      <c r="AB201"/>
      <c r="AD201" s="400"/>
      <c r="AE201" s="401"/>
      <c r="AF201" s="399"/>
      <c r="AG201" s="400"/>
      <c r="AH201" s="401"/>
      <c r="AI201" s="2055"/>
    </row>
    <row r="202" spans="1:35">
      <c r="A202"/>
      <c r="B202"/>
      <c r="C202"/>
      <c r="D202"/>
      <c r="E202"/>
      <c r="F202" s="982"/>
      <c r="G202" s="983"/>
      <c r="H202"/>
      <c r="I202" s="1843"/>
      <c r="J202"/>
      <c r="K202"/>
      <c r="L202"/>
      <c r="O202" s="1933"/>
      <c r="P202" s="1938"/>
      <c r="Q202" s="1923"/>
      <c r="S202"/>
      <c r="T202"/>
      <c r="U202" s="464"/>
      <c r="V202"/>
      <c r="W202"/>
      <c r="X202"/>
      <c r="Y202"/>
      <c r="Z202" s="270"/>
      <c r="AA202"/>
      <c r="AB202"/>
      <c r="AD202" s="400"/>
      <c r="AE202" s="401"/>
      <c r="AF202" s="399"/>
      <c r="AG202" s="400"/>
      <c r="AH202" s="401"/>
      <c r="AI202" s="2055"/>
    </row>
    <row r="203" spans="1:35">
      <c r="A203"/>
      <c r="B203"/>
      <c r="C203"/>
      <c r="D203"/>
      <c r="E203"/>
      <c r="F203" s="982"/>
      <c r="G203" s="983"/>
      <c r="H203"/>
      <c r="I203" s="1843"/>
      <c r="J203"/>
      <c r="K203"/>
      <c r="L203"/>
      <c r="O203" s="1933"/>
      <c r="P203" s="1938"/>
      <c r="Q203" s="1923"/>
      <c r="S203"/>
      <c r="T203"/>
      <c r="U203" s="464"/>
      <c r="V203"/>
      <c r="W203"/>
      <c r="X203"/>
      <c r="Y203"/>
      <c r="Z203" s="270"/>
      <c r="AA203"/>
      <c r="AB203"/>
      <c r="AD203" s="400"/>
      <c r="AE203" s="401"/>
      <c r="AF203" s="399"/>
      <c r="AG203" s="400"/>
      <c r="AH203" s="401"/>
      <c r="AI203" s="2055"/>
    </row>
    <row r="204" spans="1:35">
      <c r="A204"/>
      <c r="B204"/>
      <c r="C204"/>
      <c r="D204"/>
      <c r="E204"/>
      <c r="F204" s="982"/>
      <c r="G204" s="983"/>
      <c r="H204"/>
      <c r="I204" s="1843"/>
      <c r="J204"/>
      <c r="K204"/>
      <c r="L204"/>
      <c r="O204" s="1933"/>
      <c r="P204" s="1938"/>
      <c r="Q204" s="1923"/>
      <c r="S204"/>
      <c r="T204"/>
      <c r="U204" s="464"/>
      <c r="V204"/>
      <c r="W204"/>
      <c r="X204"/>
      <c r="Y204"/>
      <c r="Z204" s="270"/>
      <c r="AA204"/>
      <c r="AB204"/>
      <c r="AD204" s="400"/>
      <c r="AE204" s="401"/>
      <c r="AF204" s="399"/>
      <c r="AG204" s="400"/>
      <c r="AH204" s="401"/>
      <c r="AI204" s="2055"/>
    </row>
    <row r="205" spans="1:35">
      <c r="A205"/>
      <c r="B205"/>
      <c r="C205"/>
      <c r="D205"/>
      <c r="E205"/>
      <c r="F205" s="982"/>
      <c r="G205" s="983"/>
      <c r="H205"/>
      <c r="I205" s="1843"/>
      <c r="J205"/>
      <c r="K205"/>
      <c r="L205"/>
      <c r="O205" s="1933"/>
      <c r="P205" s="1938"/>
      <c r="Q205" s="1923"/>
      <c r="S205"/>
      <c r="T205"/>
      <c r="U205" s="464"/>
      <c r="V205"/>
      <c r="W205"/>
      <c r="X205"/>
      <c r="Y205"/>
      <c r="Z205" s="270"/>
      <c r="AA205"/>
      <c r="AB205"/>
      <c r="AD205" s="400"/>
      <c r="AE205" s="401"/>
      <c r="AF205" s="399"/>
      <c r="AG205" s="400"/>
      <c r="AH205" s="401"/>
      <c r="AI205" s="2055"/>
    </row>
    <row r="206" spans="1:35">
      <c r="A206"/>
      <c r="B206"/>
      <c r="C206"/>
      <c r="D206"/>
      <c r="E206"/>
      <c r="F206" s="982"/>
      <c r="G206" s="983"/>
      <c r="H206"/>
      <c r="I206" s="1843"/>
      <c r="J206"/>
      <c r="K206"/>
      <c r="L206"/>
      <c r="O206" s="1933"/>
      <c r="P206" s="1938"/>
      <c r="Q206" s="1923"/>
      <c r="S206"/>
      <c r="T206"/>
      <c r="U206" s="464"/>
      <c r="V206"/>
      <c r="W206"/>
      <c r="X206"/>
      <c r="Y206"/>
      <c r="Z206" s="270"/>
      <c r="AA206"/>
      <c r="AB206"/>
      <c r="AD206" s="400"/>
      <c r="AE206" s="401"/>
      <c r="AF206" s="399"/>
      <c r="AG206" s="400"/>
      <c r="AH206" s="401"/>
      <c r="AI206" s="2055"/>
    </row>
    <row r="207" spans="1:35">
      <c r="A207"/>
      <c r="B207"/>
      <c r="C207"/>
      <c r="D207"/>
      <c r="E207"/>
      <c r="F207" s="982"/>
      <c r="G207" s="983"/>
      <c r="H207"/>
      <c r="I207" s="1843"/>
      <c r="J207"/>
      <c r="K207"/>
      <c r="L207"/>
      <c r="O207" s="1933"/>
      <c r="P207" s="1938"/>
      <c r="Q207" s="1923"/>
      <c r="S207"/>
      <c r="T207"/>
      <c r="U207" s="464"/>
      <c r="V207"/>
      <c r="W207"/>
      <c r="X207"/>
      <c r="Y207"/>
      <c r="Z207" s="270"/>
      <c r="AA207"/>
      <c r="AB207"/>
      <c r="AD207" s="400"/>
      <c r="AE207" s="401"/>
      <c r="AF207" s="399"/>
      <c r="AG207" s="400"/>
      <c r="AH207" s="401"/>
      <c r="AI207" s="2055"/>
    </row>
    <row r="208" spans="1:35">
      <c r="A208"/>
      <c r="B208"/>
      <c r="C208"/>
      <c r="D208"/>
      <c r="E208"/>
      <c r="F208" s="982"/>
      <c r="G208" s="983"/>
      <c r="H208"/>
      <c r="I208" s="1843"/>
      <c r="J208"/>
      <c r="K208"/>
      <c r="L208"/>
      <c r="O208" s="1933"/>
      <c r="P208" s="1938"/>
      <c r="Q208" s="1923"/>
      <c r="S208"/>
      <c r="T208"/>
      <c r="U208" s="464"/>
      <c r="V208"/>
      <c r="W208"/>
      <c r="X208"/>
      <c r="Y208"/>
      <c r="Z208" s="270"/>
      <c r="AA208"/>
      <c r="AB208"/>
      <c r="AD208" s="400"/>
      <c r="AE208" s="401"/>
      <c r="AF208" s="399"/>
      <c r="AG208" s="400"/>
      <c r="AH208" s="401"/>
      <c r="AI208" s="2055"/>
    </row>
    <row r="209" spans="1:35">
      <c r="A209"/>
      <c r="B209"/>
      <c r="C209"/>
      <c r="D209"/>
      <c r="E209"/>
      <c r="F209" s="982"/>
      <c r="G209" s="983"/>
      <c r="H209"/>
      <c r="I209" s="1843"/>
      <c r="J209"/>
      <c r="K209"/>
      <c r="L209"/>
      <c r="O209" s="1933"/>
      <c r="P209" s="1938"/>
      <c r="Q209" s="1923"/>
      <c r="S209"/>
      <c r="T209"/>
      <c r="U209" s="464"/>
      <c r="V209"/>
      <c r="W209"/>
      <c r="X209"/>
      <c r="Y209"/>
      <c r="Z209" s="270"/>
      <c r="AA209"/>
      <c r="AB209"/>
      <c r="AD209" s="400"/>
      <c r="AE209" s="401"/>
      <c r="AF209" s="399"/>
      <c r="AG209" s="400"/>
      <c r="AH209" s="401"/>
      <c r="AI209" s="2055"/>
    </row>
    <row r="210" spans="1:35">
      <c r="A210"/>
      <c r="B210"/>
      <c r="C210"/>
      <c r="D210"/>
      <c r="E210"/>
      <c r="F210" s="982"/>
      <c r="G210" s="983"/>
      <c r="H210"/>
      <c r="I210" s="1843"/>
      <c r="J210"/>
      <c r="K210"/>
      <c r="L210"/>
      <c r="O210" s="1933"/>
      <c r="P210" s="1938"/>
      <c r="Q210" s="1923"/>
      <c r="S210"/>
      <c r="T210"/>
      <c r="U210" s="464"/>
      <c r="V210"/>
      <c r="W210"/>
      <c r="X210"/>
      <c r="Y210"/>
      <c r="Z210" s="270"/>
      <c r="AA210"/>
      <c r="AB210"/>
      <c r="AD210" s="400"/>
      <c r="AE210" s="401"/>
      <c r="AF210" s="399"/>
      <c r="AG210" s="400"/>
      <c r="AH210" s="401"/>
      <c r="AI210" s="2055"/>
    </row>
    <row r="211" spans="1:35">
      <c r="A211"/>
      <c r="B211"/>
      <c r="C211"/>
      <c r="D211"/>
      <c r="E211"/>
      <c r="F211" s="982"/>
      <c r="G211" s="983"/>
      <c r="H211"/>
      <c r="I211" s="1843"/>
      <c r="J211"/>
      <c r="K211"/>
      <c r="L211"/>
      <c r="O211" s="1933"/>
      <c r="P211" s="1938"/>
      <c r="Q211" s="1923"/>
      <c r="S211"/>
      <c r="T211"/>
      <c r="U211" s="464"/>
      <c r="V211"/>
      <c r="W211"/>
      <c r="X211"/>
      <c r="Y211"/>
      <c r="Z211" s="270"/>
      <c r="AA211"/>
      <c r="AB211"/>
      <c r="AD211" s="400"/>
      <c r="AE211" s="401"/>
      <c r="AF211" s="399"/>
      <c r="AG211" s="400"/>
      <c r="AH211" s="401"/>
      <c r="AI211" s="2055"/>
    </row>
    <row r="212" spans="1:35">
      <c r="A212"/>
      <c r="B212"/>
      <c r="C212"/>
      <c r="D212"/>
      <c r="E212"/>
      <c r="F212" s="982"/>
      <c r="G212" s="983"/>
      <c r="H212"/>
      <c r="I212" s="1843"/>
      <c r="J212"/>
      <c r="K212"/>
      <c r="L212"/>
      <c r="O212" s="1933"/>
      <c r="P212" s="1938"/>
      <c r="Q212" s="1923"/>
      <c r="S212"/>
      <c r="T212"/>
      <c r="U212" s="464"/>
      <c r="V212"/>
      <c r="W212"/>
      <c r="X212"/>
      <c r="Y212"/>
      <c r="Z212" s="270"/>
      <c r="AA212"/>
      <c r="AB212"/>
      <c r="AD212" s="400"/>
      <c r="AE212" s="401"/>
      <c r="AF212" s="399"/>
      <c r="AG212" s="400"/>
      <c r="AH212" s="401"/>
      <c r="AI212" s="2055"/>
    </row>
    <row r="213" spans="1:35">
      <c r="A213"/>
      <c r="B213"/>
      <c r="C213"/>
      <c r="D213"/>
      <c r="E213"/>
      <c r="F213" s="982"/>
      <c r="G213" s="983"/>
      <c r="H213"/>
      <c r="I213" s="1843"/>
      <c r="J213"/>
      <c r="K213"/>
      <c r="L213"/>
      <c r="O213" s="1933"/>
      <c r="P213" s="1938"/>
      <c r="Q213" s="1923"/>
      <c r="S213"/>
      <c r="T213"/>
      <c r="U213" s="464"/>
      <c r="V213"/>
      <c r="W213"/>
      <c r="X213"/>
      <c r="Y213"/>
      <c r="Z213" s="270"/>
      <c r="AA213"/>
      <c r="AB213"/>
      <c r="AD213" s="400"/>
      <c r="AE213" s="401"/>
      <c r="AF213" s="399"/>
      <c r="AG213" s="400"/>
      <c r="AH213" s="401"/>
      <c r="AI213" s="2055"/>
    </row>
    <row r="214" spans="1:35">
      <c r="A214"/>
      <c r="B214"/>
      <c r="C214"/>
      <c r="D214"/>
      <c r="E214"/>
      <c r="F214" s="982"/>
      <c r="G214" s="983"/>
      <c r="H214"/>
      <c r="I214" s="1843"/>
      <c r="J214"/>
      <c r="K214"/>
      <c r="L214"/>
      <c r="O214" s="1933"/>
      <c r="P214" s="1938"/>
      <c r="Q214" s="1923"/>
      <c r="S214"/>
      <c r="T214"/>
      <c r="U214" s="464"/>
      <c r="V214"/>
      <c r="W214"/>
      <c r="X214"/>
      <c r="Y214"/>
      <c r="Z214" s="270"/>
      <c r="AA214"/>
      <c r="AB214"/>
      <c r="AD214" s="400"/>
      <c r="AE214" s="401"/>
      <c r="AF214" s="399"/>
      <c r="AG214" s="400"/>
      <c r="AH214" s="401"/>
      <c r="AI214" s="2055"/>
    </row>
    <row r="215" spans="1:35">
      <c r="A215"/>
      <c r="B215"/>
      <c r="C215"/>
      <c r="D215"/>
      <c r="E215"/>
      <c r="F215" s="982"/>
      <c r="G215" s="983"/>
      <c r="H215"/>
      <c r="I215" s="1843"/>
      <c r="J215"/>
      <c r="K215"/>
      <c r="L215"/>
      <c r="O215" s="1933"/>
      <c r="P215" s="1938"/>
      <c r="Q215" s="1923"/>
      <c r="S215"/>
      <c r="T215"/>
      <c r="U215" s="464"/>
      <c r="V215"/>
      <c r="W215"/>
      <c r="X215"/>
      <c r="Y215"/>
      <c r="Z215" s="270"/>
      <c r="AA215"/>
      <c r="AB215"/>
      <c r="AD215" s="400"/>
      <c r="AE215" s="401"/>
      <c r="AF215" s="399"/>
      <c r="AG215" s="400"/>
      <c r="AH215" s="401"/>
      <c r="AI215" s="2055"/>
    </row>
    <row r="216" spans="1:35">
      <c r="A216"/>
      <c r="B216"/>
      <c r="C216"/>
      <c r="D216"/>
      <c r="E216"/>
      <c r="F216" s="982"/>
      <c r="G216" s="983"/>
      <c r="H216"/>
      <c r="I216" s="1843"/>
      <c r="J216"/>
      <c r="K216"/>
      <c r="L216"/>
      <c r="O216" s="1933"/>
      <c r="P216" s="1938"/>
      <c r="Q216" s="1923"/>
      <c r="S216"/>
      <c r="T216"/>
      <c r="U216" s="464"/>
      <c r="V216"/>
      <c r="W216"/>
      <c r="X216"/>
      <c r="Y216"/>
      <c r="Z216" s="270"/>
      <c r="AA216"/>
      <c r="AB216"/>
      <c r="AF216" s="399"/>
      <c r="AI216" s="2055"/>
    </row>
    <row r="217" spans="1:35">
      <c r="A217"/>
      <c r="B217"/>
      <c r="C217"/>
      <c r="D217"/>
      <c r="E217"/>
      <c r="F217" s="982"/>
      <c r="G217" s="983"/>
      <c r="H217"/>
      <c r="I217" s="1843"/>
      <c r="J217"/>
      <c r="K217"/>
      <c r="L217"/>
      <c r="O217" s="1933"/>
      <c r="P217" s="1938"/>
      <c r="Q217" s="1923"/>
      <c r="S217"/>
      <c r="T217"/>
      <c r="U217" s="464"/>
      <c r="V217"/>
      <c r="W217"/>
      <c r="X217"/>
      <c r="Y217"/>
      <c r="Z217" s="270"/>
      <c r="AA217"/>
      <c r="AB217"/>
      <c r="AD217" s="400"/>
      <c r="AE217" s="401"/>
      <c r="AF217" s="399"/>
      <c r="AG217" s="400"/>
      <c r="AH217" s="401"/>
      <c r="AI217" s="2055"/>
    </row>
    <row r="218" spans="1:35">
      <c r="A218"/>
      <c r="B218"/>
      <c r="C218"/>
      <c r="D218"/>
      <c r="E218"/>
      <c r="F218" s="982"/>
      <c r="G218" s="983"/>
      <c r="H218"/>
      <c r="I218" s="1843"/>
      <c r="J218"/>
      <c r="K218"/>
      <c r="L218"/>
      <c r="O218" s="1933"/>
      <c r="P218" s="1938"/>
      <c r="Q218" s="1923"/>
      <c r="S218"/>
      <c r="T218"/>
      <c r="U218" s="464"/>
      <c r="V218"/>
      <c r="W218"/>
      <c r="X218"/>
      <c r="Y218"/>
      <c r="Z218" s="270"/>
      <c r="AA218"/>
      <c r="AB218"/>
      <c r="AD218" s="408"/>
      <c r="AE218" s="409"/>
      <c r="AF218" s="399"/>
      <c r="AG218" s="408"/>
      <c r="AH218" s="409"/>
      <c r="AI218" s="2055"/>
    </row>
    <row r="219" spans="1:35">
      <c r="A219"/>
      <c r="B219"/>
      <c r="C219"/>
      <c r="D219"/>
      <c r="E219"/>
      <c r="F219" s="982"/>
      <c r="G219" s="983"/>
      <c r="H219"/>
      <c r="I219" s="1843"/>
      <c r="J219"/>
      <c r="K219"/>
      <c r="L219"/>
      <c r="O219" s="1933"/>
      <c r="P219" s="1938"/>
      <c r="Q219" s="1923"/>
      <c r="S219"/>
      <c r="T219"/>
      <c r="U219" s="464"/>
      <c r="V219"/>
      <c r="W219"/>
      <c r="X219"/>
      <c r="Y219"/>
      <c r="Z219" s="270"/>
      <c r="AA219"/>
      <c r="AB219"/>
      <c r="AD219" s="408"/>
      <c r="AE219" s="409"/>
      <c r="AF219" s="399"/>
      <c r="AG219" s="408"/>
      <c r="AH219" s="409"/>
      <c r="AI219" s="2055"/>
    </row>
    <row r="220" spans="1:35">
      <c r="A220"/>
      <c r="B220"/>
      <c r="C220"/>
      <c r="D220"/>
      <c r="E220"/>
      <c r="F220" s="982"/>
      <c r="G220" s="983"/>
      <c r="H220"/>
      <c r="I220" s="1843"/>
      <c r="J220"/>
      <c r="K220"/>
      <c r="L220"/>
      <c r="O220" s="1933"/>
      <c r="P220" s="1938"/>
      <c r="Q220" s="1923"/>
      <c r="S220"/>
      <c r="T220"/>
      <c r="U220" s="464"/>
      <c r="V220"/>
      <c r="W220"/>
      <c r="X220"/>
      <c r="Y220"/>
      <c r="Z220" s="270"/>
      <c r="AA220"/>
      <c r="AB220"/>
      <c r="AD220" s="408"/>
      <c r="AE220" s="409"/>
      <c r="AF220" s="399"/>
      <c r="AG220" s="408"/>
      <c r="AH220" s="409"/>
      <c r="AI220" s="2055"/>
    </row>
    <row r="221" spans="1:35">
      <c r="A221"/>
      <c r="B221"/>
      <c r="C221"/>
      <c r="D221"/>
      <c r="E221"/>
      <c r="F221" s="982"/>
      <c r="G221" s="983"/>
      <c r="H221"/>
      <c r="I221" s="1843"/>
      <c r="J221"/>
      <c r="K221"/>
      <c r="L221"/>
      <c r="O221" s="1933"/>
      <c r="P221" s="1938"/>
      <c r="Q221" s="1923"/>
      <c r="S221"/>
      <c r="T221"/>
      <c r="U221" s="464"/>
      <c r="V221"/>
      <c r="W221"/>
      <c r="X221"/>
      <c r="Y221"/>
      <c r="Z221" s="270"/>
      <c r="AA221"/>
      <c r="AB221"/>
      <c r="AD221" s="400"/>
      <c r="AE221" s="401"/>
      <c r="AF221" s="399"/>
      <c r="AG221" s="400"/>
      <c r="AH221" s="401"/>
      <c r="AI221" s="2055"/>
    </row>
    <row r="222" spans="1:35">
      <c r="A222"/>
      <c r="B222"/>
      <c r="C222"/>
      <c r="D222"/>
      <c r="E222"/>
      <c r="F222" s="982"/>
      <c r="G222" s="983"/>
      <c r="H222"/>
      <c r="I222" s="1843"/>
      <c r="J222"/>
      <c r="K222"/>
      <c r="L222"/>
      <c r="O222" s="1933"/>
      <c r="P222" s="1938"/>
      <c r="Q222" s="1923"/>
      <c r="S222"/>
      <c r="T222"/>
      <c r="U222" s="464"/>
      <c r="V222"/>
      <c r="W222"/>
      <c r="X222"/>
      <c r="Y222"/>
      <c r="Z222" s="270"/>
      <c r="AA222"/>
      <c r="AB222"/>
      <c r="AF222" s="399"/>
      <c r="AI222" s="2055"/>
    </row>
    <row r="223" spans="1:35">
      <c r="A223"/>
      <c r="B223"/>
      <c r="C223"/>
      <c r="D223"/>
      <c r="E223"/>
      <c r="F223" s="982"/>
      <c r="G223" s="983"/>
      <c r="H223"/>
      <c r="I223" s="1843"/>
      <c r="J223"/>
      <c r="K223"/>
      <c r="L223"/>
      <c r="O223" s="1933"/>
      <c r="P223" s="1938"/>
      <c r="Q223" s="1923"/>
      <c r="S223"/>
      <c r="T223"/>
      <c r="U223" s="464"/>
      <c r="V223"/>
      <c r="W223"/>
      <c r="X223"/>
      <c r="Y223"/>
      <c r="Z223" s="270"/>
      <c r="AA223"/>
      <c r="AB223"/>
      <c r="AD223" s="400"/>
      <c r="AE223" s="401"/>
      <c r="AF223" s="399"/>
      <c r="AG223" s="400"/>
      <c r="AH223" s="401"/>
      <c r="AI223" s="2055"/>
    </row>
    <row r="224" spans="1:35">
      <c r="A224"/>
      <c r="B224"/>
      <c r="C224"/>
      <c r="D224"/>
      <c r="E224"/>
      <c r="F224" s="982"/>
      <c r="G224" s="983"/>
      <c r="H224"/>
      <c r="I224" s="1843"/>
      <c r="J224"/>
      <c r="K224"/>
      <c r="L224"/>
      <c r="O224" s="1933"/>
      <c r="P224" s="1938"/>
      <c r="Q224" s="1923"/>
      <c r="S224"/>
      <c r="T224"/>
      <c r="U224" s="464"/>
      <c r="V224"/>
      <c r="W224"/>
      <c r="X224"/>
      <c r="Y224"/>
      <c r="Z224" s="270"/>
      <c r="AA224"/>
      <c r="AB224"/>
      <c r="AD224" s="406"/>
      <c r="AE224" s="407"/>
      <c r="AF224" s="399"/>
      <c r="AG224" s="406"/>
      <c r="AH224" s="407"/>
      <c r="AI224" s="2055"/>
    </row>
    <row r="225" spans="1:35">
      <c r="A225"/>
      <c r="B225"/>
      <c r="C225"/>
      <c r="D225"/>
      <c r="E225"/>
      <c r="F225" s="982"/>
      <c r="G225" s="983"/>
      <c r="H225"/>
      <c r="I225" s="1843"/>
      <c r="J225"/>
      <c r="K225"/>
      <c r="L225"/>
      <c r="O225" s="1933"/>
      <c r="P225" s="1938"/>
      <c r="Q225" s="1923"/>
      <c r="S225"/>
      <c r="T225"/>
      <c r="U225" s="464"/>
      <c r="V225"/>
      <c r="W225"/>
      <c r="X225"/>
      <c r="Y225"/>
      <c r="Z225" s="270"/>
      <c r="AA225"/>
      <c r="AB225"/>
      <c r="AD225" s="400"/>
      <c r="AE225" s="401"/>
      <c r="AF225" s="399"/>
      <c r="AG225" s="400"/>
      <c r="AH225" s="401"/>
      <c r="AI225" s="2055"/>
    </row>
    <row r="226" spans="1:35">
      <c r="A226"/>
      <c r="B226"/>
      <c r="C226"/>
      <c r="D226"/>
      <c r="E226"/>
      <c r="F226" s="982"/>
      <c r="G226" s="983"/>
      <c r="H226"/>
      <c r="I226" s="1843"/>
      <c r="J226"/>
      <c r="K226"/>
      <c r="L226"/>
      <c r="O226" s="1933"/>
      <c r="P226" s="1938"/>
      <c r="Q226" s="1923"/>
      <c r="S226"/>
      <c r="T226"/>
      <c r="U226" s="464"/>
      <c r="V226"/>
      <c r="W226"/>
      <c r="X226"/>
      <c r="Y226"/>
      <c r="Z226" s="270"/>
      <c r="AA226"/>
      <c r="AB226"/>
      <c r="AD226" s="400"/>
      <c r="AE226" s="401"/>
      <c r="AF226" s="399"/>
      <c r="AG226" s="400"/>
      <c r="AH226" s="401"/>
      <c r="AI226" s="2055"/>
    </row>
    <row r="227" spans="1:35">
      <c r="A227"/>
      <c r="B227"/>
      <c r="C227"/>
      <c r="D227"/>
      <c r="E227"/>
      <c r="F227" s="982"/>
      <c r="G227" s="983"/>
      <c r="H227"/>
      <c r="I227" s="1843"/>
      <c r="J227"/>
      <c r="K227"/>
      <c r="L227"/>
      <c r="O227" s="1933"/>
      <c r="P227" s="1938"/>
      <c r="Q227" s="1923"/>
      <c r="S227"/>
      <c r="T227"/>
      <c r="U227" s="464"/>
      <c r="V227"/>
      <c r="W227"/>
      <c r="X227"/>
      <c r="Y227"/>
      <c r="Z227" s="270"/>
      <c r="AA227"/>
      <c r="AB227"/>
      <c r="AD227" s="400"/>
      <c r="AE227" s="401"/>
      <c r="AF227" s="399"/>
      <c r="AG227" s="400"/>
      <c r="AH227" s="401"/>
      <c r="AI227" s="2055"/>
    </row>
    <row r="228" spans="1:35">
      <c r="A228"/>
      <c r="B228"/>
      <c r="C228"/>
      <c r="D228"/>
      <c r="E228"/>
      <c r="F228" s="982"/>
      <c r="G228" s="983"/>
      <c r="H228"/>
      <c r="I228" s="1843"/>
      <c r="J228"/>
      <c r="K228"/>
      <c r="L228"/>
      <c r="O228" s="1933"/>
      <c r="P228" s="1938"/>
      <c r="Q228" s="1923"/>
      <c r="S228"/>
      <c r="T228"/>
      <c r="U228" s="464"/>
      <c r="V228"/>
      <c r="W228"/>
      <c r="X228"/>
      <c r="Y228"/>
      <c r="Z228" s="270"/>
      <c r="AA228"/>
      <c r="AB228"/>
      <c r="AD228" s="400"/>
      <c r="AE228" s="401"/>
      <c r="AF228" s="399"/>
      <c r="AG228" s="400"/>
      <c r="AH228" s="401"/>
      <c r="AI228" s="2055"/>
    </row>
    <row r="229" spans="1:35">
      <c r="A229"/>
      <c r="B229"/>
      <c r="C229"/>
      <c r="D229"/>
      <c r="E229"/>
      <c r="F229" s="982"/>
      <c r="G229" s="983"/>
      <c r="H229"/>
      <c r="I229" s="1843"/>
      <c r="J229"/>
      <c r="K229"/>
      <c r="L229"/>
      <c r="O229" s="1933"/>
      <c r="P229" s="1938"/>
      <c r="Q229" s="1923"/>
      <c r="S229"/>
      <c r="T229"/>
      <c r="U229" s="464"/>
      <c r="V229"/>
      <c r="W229"/>
      <c r="X229"/>
      <c r="Y229"/>
      <c r="Z229" s="270"/>
      <c r="AA229"/>
      <c r="AB229"/>
      <c r="AD229" s="400"/>
      <c r="AE229" s="401"/>
      <c r="AF229" s="399"/>
      <c r="AG229" s="400"/>
      <c r="AH229" s="401"/>
      <c r="AI229" s="2055"/>
    </row>
    <row r="230" spans="1:35">
      <c r="A230"/>
      <c r="B230"/>
      <c r="C230"/>
      <c r="D230"/>
      <c r="E230"/>
      <c r="F230" s="982"/>
      <c r="G230" s="983"/>
      <c r="H230"/>
      <c r="I230" s="1843"/>
      <c r="J230"/>
      <c r="K230"/>
      <c r="L230"/>
      <c r="O230" s="1933"/>
      <c r="P230" s="1938"/>
      <c r="Q230" s="1923"/>
      <c r="S230"/>
      <c r="T230"/>
      <c r="U230" s="464"/>
      <c r="V230"/>
      <c r="W230"/>
      <c r="X230"/>
      <c r="Y230"/>
      <c r="Z230" s="270"/>
      <c r="AA230"/>
      <c r="AB230"/>
      <c r="AD230" s="400"/>
      <c r="AE230" s="401"/>
      <c r="AF230" s="399"/>
      <c r="AG230" s="400"/>
      <c r="AH230" s="401"/>
      <c r="AI230" s="2055"/>
    </row>
    <row r="231" spans="1:35">
      <c r="A231"/>
      <c r="B231"/>
      <c r="C231"/>
      <c r="D231"/>
      <c r="E231"/>
      <c r="F231" s="982"/>
      <c r="G231" s="983"/>
      <c r="H231"/>
      <c r="I231" s="1843"/>
      <c r="J231"/>
      <c r="K231"/>
      <c r="L231"/>
      <c r="O231" s="1933"/>
      <c r="P231" s="1938"/>
      <c r="Q231" s="1923"/>
      <c r="S231"/>
      <c r="T231"/>
      <c r="U231" s="464"/>
      <c r="V231"/>
      <c r="W231"/>
      <c r="X231"/>
      <c r="Y231"/>
      <c r="Z231" s="270"/>
      <c r="AA231"/>
      <c r="AB231"/>
      <c r="AD231" s="400"/>
      <c r="AE231" s="401"/>
      <c r="AF231" s="399"/>
      <c r="AG231" s="400"/>
      <c r="AH231" s="401"/>
      <c r="AI231" s="2055"/>
    </row>
    <row r="232" spans="1:35">
      <c r="A232"/>
      <c r="B232"/>
      <c r="C232"/>
      <c r="D232"/>
      <c r="E232"/>
      <c r="F232" s="982"/>
      <c r="G232" s="983"/>
      <c r="H232"/>
      <c r="I232" s="1843"/>
      <c r="J232"/>
      <c r="K232"/>
      <c r="L232"/>
      <c r="O232" s="1933"/>
      <c r="P232" s="1938"/>
      <c r="Q232" s="1923"/>
      <c r="S232"/>
      <c r="T232"/>
      <c r="U232" s="464"/>
      <c r="V232"/>
      <c r="W232"/>
      <c r="X232"/>
      <c r="Y232"/>
      <c r="Z232" s="270"/>
      <c r="AA232"/>
      <c r="AB232"/>
      <c r="AD232" s="400"/>
      <c r="AE232" s="401"/>
      <c r="AF232" s="399"/>
      <c r="AG232" s="400"/>
      <c r="AH232" s="401"/>
      <c r="AI232" s="2055"/>
    </row>
    <row r="233" spans="1:35">
      <c r="A233"/>
      <c r="B233"/>
      <c r="C233"/>
      <c r="D233"/>
      <c r="E233"/>
      <c r="F233" s="982"/>
      <c r="G233" s="983"/>
      <c r="H233"/>
      <c r="I233" s="1843"/>
      <c r="J233"/>
      <c r="K233"/>
      <c r="L233"/>
      <c r="O233" s="1933"/>
      <c r="P233" s="1938"/>
      <c r="Q233" s="1923"/>
      <c r="S233"/>
      <c r="T233"/>
      <c r="U233" s="464"/>
      <c r="V233"/>
      <c r="W233"/>
      <c r="X233"/>
      <c r="Y233"/>
      <c r="Z233" s="270"/>
      <c r="AA233"/>
      <c r="AB233"/>
      <c r="AD233" s="400"/>
      <c r="AE233" s="401"/>
      <c r="AF233" s="399"/>
      <c r="AG233" s="400"/>
      <c r="AH233" s="401"/>
      <c r="AI233" s="2055"/>
    </row>
    <row r="234" spans="1:35">
      <c r="A234"/>
      <c r="B234"/>
      <c r="C234"/>
      <c r="D234"/>
      <c r="E234"/>
      <c r="F234" s="982"/>
      <c r="G234" s="983"/>
      <c r="H234"/>
      <c r="I234" s="1843"/>
      <c r="J234"/>
      <c r="K234"/>
      <c r="L234"/>
      <c r="O234" s="1933"/>
      <c r="P234" s="1938"/>
      <c r="Q234" s="1923"/>
      <c r="S234"/>
      <c r="T234"/>
      <c r="U234" s="464"/>
      <c r="V234"/>
      <c r="W234"/>
      <c r="X234"/>
      <c r="Y234"/>
      <c r="Z234" s="270"/>
      <c r="AA234"/>
      <c r="AB234"/>
      <c r="AD234" s="400"/>
      <c r="AE234" s="401"/>
      <c r="AF234" s="399"/>
      <c r="AG234" s="400"/>
      <c r="AH234" s="401"/>
      <c r="AI234" s="2055"/>
    </row>
    <row r="235" spans="1:35">
      <c r="A235"/>
      <c r="B235"/>
      <c r="C235"/>
      <c r="D235"/>
      <c r="E235"/>
      <c r="F235" s="982"/>
      <c r="G235" s="983"/>
      <c r="H235"/>
      <c r="I235" s="1843"/>
      <c r="J235"/>
      <c r="K235"/>
      <c r="L235"/>
      <c r="O235" s="1933"/>
      <c r="P235" s="1938"/>
      <c r="Q235" s="1923"/>
      <c r="S235"/>
      <c r="T235"/>
      <c r="U235" s="464"/>
      <c r="V235"/>
      <c r="W235"/>
      <c r="X235"/>
      <c r="Y235"/>
      <c r="Z235" s="270"/>
      <c r="AA235"/>
      <c r="AB235"/>
      <c r="AD235" s="406"/>
      <c r="AE235" s="407"/>
      <c r="AF235" s="399"/>
      <c r="AG235" s="406"/>
      <c r="AH235" s="407"/>
      <c r="AI235" s="2055"/>
    </row>
    <row r="236" spans="1:35">
      <c r="A236"/>
      <c r="B236"/>
      <c r="C236"/>
      <c r="D236"/>
      <c r="E236"/>
      <c r="F236" s="982"/>
      <c r="G236" s="983"/>
      <c r="H236"/>
      <c r="I236" s="1843"/>
      <c r="J236"/>
      <c r="K236"/>
      <c r="L236"/>
      <c r="O236" s="1933"/>
      <c r="P236" s="1938"/>
      <c r="Q236" s="1923"/>
      <c r="S236"/>
      <c r="T236"/>
      <c r="U236" s="464"/>
      <c r="V236"/>
      <c r="W236"/>
      <c r="X236"/>
      <c r="Y236"/>
      <c r="Z236" s="270"/>
      <c r="AA236"/>
      <c r="AB236"/>
      <c r="AD236" s="400"/>
      <c r="AE236" s="401"/>
      <c r="AF236" s="399"/>
      <c r="AG236" s="400"/>
      <c r="AH236" s="401"/>
      <c r="AI236" s="2055"/>
    </row>
    <row r="237" spans="1:35">
      <c r="A237"/>
      <c r="B237"/>
      <c r="C237"/>
      <c r="D237"/>
      <c r="E237"/>
      <c r="F237" s="982"/>
      <c r="G237" s="983"/>
      <c r="H237"/>
      <c r="I237" s="1843"/>
      <c r="J237"/>
      <c r="K237"/>
      <c r="L237"/>
      <c r="O237" s="1933"/>
      <c r="P237" s="1938"/>
      <c r="Q237" s="1923"/>
      <c r="S237"/>
      <c r="T237"/>
      <c r="U237" s="464"/>
      <c r="V237"/>
      <c r="W237"/>
      <c r="X237"/>
      <c r="Y237"/>
      <c r="Z237" s="270"/>
      <c r="AA237"/>
      <c r="AB237"/>
      <c r="AD237" s="400"/>
      <c r="AE237" s="401"/>
      <c r="AF237" s="399"/>
      <c r="AG237" s="400"/>
      <c r="AH237" s="401"/>
      <c r="AI237" s="2055"/>
    </row>
    <row r="238" spans="1:35">
      <c r="A238"/>
      <c r="B238"/>
      <c r="C238"/>
      <c r="D238"/>
      <c r="E238"/>
      <c r="F238" s="982"/>
      <c r="G238" s="983"/>
      <c r="H238"/>
      <c r="I238" s="1843"/>
      <c r="J238"/>
      <c r="K238"/>
      <c r="L238"/>
      <c r="O238" s="1933"/>
      <c r="P238" s="1938"/>
      <c r="Q238" s="1923"/>
      <c r="S238"/>
      <c r="T238"/>
      <c r="U238" s="464"/>
      <c r="V238"/>
      <c r="W238"/>
      <c r="X238"/>
      <c r="Y238"/>
      <c r="Z238" s="270"/>
      <c r="AA238"/>
      <c r="AB238"/>
      <c r="AD238" s="406"/>
      <c r="AE238" s="407"/>
      <c r="AF238" s="399"/>
      <c r="AG238" s="406"/>
      <c r="AH238" s="407"/>
      <c r="AI238" s="2055"/>
    </row>
    <row r="239" spans="1:35">
      <c r="A239"/>
      <c r="B239"/>
      <c r="C239"/>
      <c r="D239"/>
      <c r="E239"/>
      <c r="F239" s="982"/>
      <c r="G239" s="983"/>
      <c r="H239"/>
      <c r="I239" s="1843"/>
      <c r="J239"/>
      <c r="K239"/>
      <c r="L239"/>
      <c r="O239" s="1933"/>
      <c r="P239" s="1938"/>
      <c r="Q239" s="1923"/>
      <c r="S239"/>
      <c r="T239"/>
      <c r="U239" s="464"/>
      <c r="V239"/>
      <c r="W239"/>
      <c r="X239"/>
      <c r="Y239"/>
      <c r="Z239" s="270"/>
      <c r="AA239"/>
      <c r="AB239"/>
      <c r="AD239" s="400"/>
      <c r="AE239" s="401"/>
      <c r="AF239" s="399"/>
      <c r="AG239" s="400"/>
      <c r="AH239" s="401"/>
      <c r="AI239" s="2055"/>
    </row>
    <row r="240" spans="1:35">
      <c r="A240"/>
      <c r="B240"/>
      <c r="C240"/>
      <c r="D240"/>
      <c r="E240"/>
      <c r="F240" s="982"/>
      <c r="G240" s="983"/>
      <c r="H240"/>
      <c r="I240" s="1843"/>
      <c r="J240"/>
      <c r="K240"/>
      <c r="L240"/>
      <c r="O240" s="1933"/>
      <c r="P240" s="1938"/>
      <c r="Q240" s="1923"/>
      <c r="S240"/>
      <c r="T240"/>
      <c r="U240" s="464"/>
      <c r="V240"/>
      <c r="W240"/>
      <c r="X240"/>
      <c r="Y240"/>
      <c r="Z240" s="270"/>
      <c r="AA240"/>
      <c r="AB240"/>
      <c r="AD240" s="400"/>
      <c r="AE240" s="401"/>
      <c r="AF240" s="399"/>
      <c r="AG240" s="400"/>
      <c r="AH240" s="401"/>
      <c r="AI240" s="2055"/>
    </row>
    <row r="241" spans="1:35">
      <c r="A241"/>
      <c r="B241"/>
      <c r="C241"/>
      <c r="D241"/>
      <c r="E241"/>
      <c r="F241" s="982"/>
      <c r="G241" s="983"/>
      <c r="H241"/>
      <c r="I241" s="1843"/>
      <c r="J241"/>
      <c r="K241"/>
      <c r="L241"/>
      <c r="O241" s="1933"/>
      <c r="P241" s="1938"/>
      <c r="Q241" s="1923"/>
      <c r="S241"/>
      <c r="T241"/>
      <c r="U241" s="464"/>
      <c r="V241"/>
      <c r="W241"/>
      <c r="X241"/>
      <c r="Y241"/>
      <c r="Z241" s="270"/>
      <c r="AA241"/>
      <c r="AB241"/>
      <c r="AD241" s="400"/>
      <c r="AE241" s="401"/>
      <c r="AF241" s="399"/>
      <c r="AG241" s="400"/>
      <c r="AH241" s="401"/>
      <c r="AI241" s="2055"/>
    </row>
    <row r="242" spans="1:35">
      <c r="A242"/>
      <c r="B242"/>
      <c r="C242"/>
      <c r="D242"/>
      <c r="E242"/>
      <c r="F242" s="982"/>
      <c r="G242" s="983"/>
      <c r="H242"/>
      <c r="I242" s="1843"/>
      <c r="J242"/>
      <c r="K242"/>
      <c r="L242"/>
      <c r="O242" s="1933"/>
      <c r="P242" s="1938"/>
      <c r="Q242" s="1923"/>
      <c r="S242"/>
      <c r="T242"/>
      <c r="U242" s="464"/>
      <c r="V242"/>
      <c r="W242"/>
      <c r="X242"/>
      <c r="Y242"/>
      <c r="Z242" s="270"/>
      <c r="AA242"/>
      <c r="AB242"/>
      <c r="AD242" s="400"/>
      <c r="AE242" s="401"/>
      <c r="AF242" s="399"/>
      <c r="AG242" s="400"/>
      <c r="AH242" s="401"/>
      <c r="AI242" s="2055"/>
    </row>
    <row r="243" spans="1:35">
      <c r="A243"/>
      <c r="B243"/>
      <c r="C243"/>
      <c r="D243"/>
      <c r="E243"/>
      <c r="F243" s="982"/>
      <c r="G243" s="983"/>
      <c r="H243"/>
      <c r="I243" s="1843"/>
      <c r="J243"/>
      <c r="K243"/>
      <c r="L243"/>
      <c r="O243" s="1933"/>
      <c r="P243" s="1938"/>
      <c r="Q243" s="1923"/>
      <c r="S243"/>
      <c r="T243"/>
      <c r="U243" s="464"/>
      <c r="V243"/>
      <c r="W243"/>
      <c r="X243"/>
      <c r="Y243"/>
      <c r="Z243" s="270"/>
      <c r="AA243"/>
      <c r="AB243"/>
      <c r="AD243" s="406"/>
      <c r="AE243" s="407"/>
      <c r="AF243" s="399"/>
      <c r="AG243" s="406"/>
      <c r="AH243" s="407"/>
      <c r="AI243" s="2055"/>
    </row>
    <row r="244" spans="1:35">
      <c r="A244"/>
      <c r="B244"/>
      <c r="C244"/>
      <c r="D244"/>
      <c r="E244"/>
      <c r="F244" s="982"/>
      <c r="G244" s="983"/>
      <c r="H244"/>
      <c r="I244" s="1843"/>
      <c r="J244"/>
      <c r="K244"/>
      <c r="L244"/>
      <c r="O244" s="1933"/>
      <c r="P244" s="1938"/>
      <c r="Q244" s="1923"/>
      <c r="S244"/>
      <c r="T244"/>
      <c r="U244" s="464"/>
      <c r="V244"/>
      <c r="W244"/>
      <c r="X244"/>
      <c r="Y244"/>
      <c r="Z244" s="270"/>
      <c r="AA244"/>
      <c r="AB244"/>
      <c r="AD244" s="400"/>
      <c r="AE244" s="401"/>
      <c r="AF244" s="399"/>
      <c r="AG244" s="400"/>
      <c r="AH244" s="401"/>
      <c r="AI244" s="2055"/>
    </row>
    <row r="245" spans="1:35">
      <c r="A245"/>
      <c r="B245"/>
      <c r="C245"/>
      <c r="D245"/>
      <c r="E245"/>
      <c r="F245" s="982"/>
      <c r="G245" s="983"/>
      <c r="H245"/>
      <c r="I245" s="1843"/>
      <c r="J245"/>
      <c r="K245"/>
      <c r="L245"/>
      <c r="O245" s="1933"/>
      <c r="P245" s="1938"/>
      <c r="Q245" s="1923"/>
      <c r="S245"/>
      <c r="T245"/>
      <c r="U245" s="464"/>
      <c r="V245"/>
      <c r="W245"/>
      <c r="X245"/>
      <c r="Y245"/>
      <c r="Z245" s="270"/>
      <c r="AA245"/>
      <c r="AB245"/>
      <c r="AD245" s="406"/>
      <c r="AE245" s="407"/>
      <c r="AF245" s="399"/>
      <c r="AG245" s="406"/>
      <c r="AH245" s="407"/>
      <c r="AI245" s="2055"/>
    </row>
    <row r="246" spans="1:35">
      <c r="A246"/>
      <c r="B246"/>
      <c r="C246"/>
      <c r="D246"/>
      <c r="E246"/>
      <c r="F246" s="982"/>
      <c r="G246" s="983"/>
      <c r="H246"/>
      <c r="I246" s="1843"/>
      <c r="J246"/>
      <c r="K246"/>
      <c r="L246"/>
      <c r="O246" s="1933"/>
      <c r="P246" s="1938"/>
      <c r="Q246" s="1923"/>
      <c r="S246"/>
      <c r="T246"/>
      <c r="U246" s="464"/>
      <c r="V246"/>
      <c r="W246"/>
      <c r="X246"/>
      <c r="Y246"/>
      <c r="Z246" s="270"/>
      <c r="AA246"/>
      <c r="AB246"/>
      <c r="AD246" s="400"/>
      <c r="AE246" s="401"/>
      <c r="AF246" s="399"/>
      <c r="AG246" s="400"/>
      <c r="AH246" s="401"/>
      <c r="AI246" s="2055"/>
    </row>
    <row r="247" spans="1:35">
      <c r="A247"/>
      <c r="B247"/>
      <c r="C247"/>
      <c r="D247"/>
      <c r="E247"/>
      <c r="F247" s="982"/>
      <c r="G247" s="983"/>
      <c r="H247"/>
      <c r="I247" s="1843"/>
      <c r="J247"/>
      <c r="K247"/>
      <c r="L247"/>
      <c r="O247" s="1933"/>
      <c r="P247" s="1938"/>
      <c r="Q247" s="1923"/>
      <c r="S247"/>
      <c r="T247"/>
      <c r="U247" s="464"/>
      <c r="V247"/>
      <c r="W247"/>
      <c r="X247"/>
      <c r="Y247"/>
      <c r="Z247" s="270"/>
      <c r="AA247"/>
      <c r="AB247"/>
      <c r="AD247" s="406"/>
      <c r="AE247" s="407"/>
      <c r="AF247" s="399"/>
      <c r="AG247" s="406"/>
      <c r="AH247" s="407"/>
      <c r="AI247" s="2055"/>
    </row>
    <row r="248" spans="1:35">
      <c r="A248"/>
      <c r="B248"/>
      <c r="C248"/>
      <c r="D248"/>
      <c r="E248"/>
      <c r="F248" s="982"/>
      <c r="G248" s="983"/>
      <c r="H248"/>
      <c r="I248" s="1843"/>
      <c r="J248"/>
      <c r="K248"/>
      <c r="L248"/>
      <c r="O248" s="1933"/>
      <c r="P248" s="1938"/>
      <c r="Q248" s="1923"/>
      <c r="S248"/>
      <c r="T248"/>
      <c r="U248" s="464"/>
      <c r="V248"/>
      <c r="W248"/>
      <c r="X248"/>
      <c r="Y248"/>
      <c r="Z248" s="270"/>
      <c r="AA248"/>
      <c r="AB248"/>
      <c r="AD248" s="400"/>
      <c r="AE248" s="401"/>
      <c r="AF248" s="399"/>
      <c r="AG248" s="400"/>
      <c r="AH248" s="401"/>
      <c r="AI248" s="2055"/>
    </row>
    <row r="249" spans="1:35">
      <c r="A249"/>
      <c r="B249"/>
      <c r="C249"/>
      <c r="D249"/>
      <c r="E249"/>
      <c r="F249" s="982"/>
      <c r="G249" s="983"/>
      <c r="H249"/>
      <c r="I249" s="1843"/>
      <c r="J249"/>
      <c r="K249"/>
      <c r="L249"/>
      <c r="O249" s="1933"/>
      <c r="P249" s="1938"/>
      <c r="Q249" s="1923"/>
      <c r="S249"/>
      <c r="T249"/>
      <c r="U249" s="464"/>
      <c r="V249"/>
      <c r="W249"/>
      <c r="X249"/>
      <c r="Y249"/>
      <c r="Z249" s="270"/>
      <c r="AA249"/>
      <c r="AB249"/>
      <c r="AD249" s="400"/>
      <c r="AE249" s="401"/>
      <c r="AF249" s="399"/>
      <c r="AG249" s="400"/>
      <c r="AH249" s="401"/>
      <c r="AI249" s="2055"/>
    </row>
    <row r="250" spans="1:35">
      <c r="A250"/>
      <c r="B250"/>
      <c r="C250"/>
      <c r="D250"/>
      <c r="E250"/>
      <c r="F250" s="982"/>
      <c r="G250" s="983"/>
      <c r="H250"/>
      <c r="I250" s="1843"/>
      <c r="J250"/>
      <c r="K250"/>
      <c r="L250"/>
      <c r="O250" s="1933"/>
      <c r="P250" s="1938"/>
      <c r="Q250" s="1923"/>
      <c r="S250"/>
      <c r="T250"/>
      <c r="U250" s="464"/>
      <c r="V250"/>
      <c r="W250"/>
      <c r="X250"/>
      <c r="Y250"/>
      <c r="Z250" s="270"/>
      <c r="AA250"/>
      <c r="AB250"/>
      <c r="AD250" s="400"/>
      <c r="AE250" s="401"/>
      <c r="AF250" s="399"/>
      <c r="AG250" s="400"/>
      <c r="AH250" s="401"/>
      <c r="AI250" s="2055"/>
    </row>
    <row r="251" spans="1:35">
      <c r="A251"/>
      <c r="B251"/>
      <c r="C251"/>
      <c r="D251"/>
      <c r="E251"/>
      <c r="F251" s="982"/>
      <c r="G251" s="983"/>
      <c r="H251"/>
      <c r="I251" s="1843"/>
      <c r="J251"/>
      <c r="K251"/>
      <c r="L251"/>
      <c r="O251" s="1933"/>
      <c r="P251" s="1938"/>
      <c r="Q251" s="1923"/>
      <c r="S251"/>
      <c r="T251"/>
      <c r="U251" s="464"/>
      <c r="V251"/>
      <c r="W251"/>
      <c r="X251"/>
      <c r="Y251"/>
      <c r="Z251" s="270"/>
      <c r="AA251"/>
      <c r="AB251"/>
      <c r="AD251" s="406"/>
      <c r="AE251" s="407"/>
      <c r="AF251" s="399"/>
      <c r="AG251" s="406"/>
      <c r="AH251" s="407"/>
      <c r="AI251" s="2055"/>
    </row>
    <row r="252" spans="1:35">
      <c r="A252"/>
      <c r="B252"/>
      <c r="C252"/>
      <c r="D252"/>
      <c r="E252"/>
      <c r="F252" s="982"/>
      <c r="G252" s="983"/>
      <c r="H252"/>
      <c r="I252" s="1843"/>
      <c r="J252"/>
      <c r="K252"/>
      <c r="L252"/>
      <c r="O252" s="1933"/>
      <c r="P252" s="1938"/>
      <c r="Q252" s="1923"/>
      <c r="S252"/>
      <c r="T252"/>
      <c r="U252" s="464"/>
      <c r="V252"/>
      <c r="W252"/>
      <c r="X252"/>
      <c r="Y252"/>
      <c r="Z252" s="270"/>
      <c r="AA252"/>
      <c r="AB252"/>
      <c r="AD252" s="400"/>
      <c r="AE252" s="401"/>
      <c r="AF252" s="399"/>
      <c r="AG252" s="400"/>
      <c r="AH252" s="401"/>
      <c r="AI252" s="2055"/>
    </row>
    <row r="253" spans="1:35">
      <c r="A253"/>
      <c r="B253"/>
      <c r="C253"/>
      <c r="D253"/>
      <c r="E253"/>
      <c r="F253" s="982"/>
      <c r="G253" s="983"/>
      <c r="H253"/>
      <c r="I253" s="1843"/>
      <c r="J253"/>
      <c r="K253"/>
      <c r="L253"/>
      <c r="O253" s="1933"/>
      <c r="P253" s="1938"/>
      <c r="Q253" s="1923"/>
      <c r="S253"/>
      <c r="T253"/>
      <c r="U253" s="464"/>
      <c r="V253"/>
      <c r="W253"/>
      <c r="X253"/>
      <c r="Y253"/>
      <c r="Z253" s="270"/>
      <c r="AA253"/>
      <c r="AB253"/>
      <c r="AD253" s="400"/>
      <c r="AE253" s="401"/>
      <c r="AF253" s="399"/>
      <c r="AG253" s="400"/>
      <c r="AH253" s="401"/>
      <c r="AI253" s="2055"/>
    </row>
    <row r="254" spans="1:35">
      <c r="A254"/>
      <c r="B254"/>
      <c r="C254"/>
      <c r="D254"/>
      <c r="E254"/>
      <c r="F254" s="982"/>
      <c r="G254" s="983"/>
      <c r="H254"/>
      <c r="I254" s="1843"/>
      <c r="J254"/>
      <c r="K254"/>
      <c r="L254"/>
      <c r="O254" s="1933"/>
      <c r="P254" s="1938"/>
      <c r="Q254" s="1923"/>
      <c r="S254"/>
      <c r="T254"/>
      <c r="U254" s="464"/>
      <c r="V254"/>
      <c r="W254"/>
      <c r="X254"/>
      <c r="Y254"/>
      <c r="Z254" s="270"/>
      <c r="AA254"/>
      <c r="AB254"/>
      <c r="AD254" s="400"/>
      <c r="AE254" s="401"/>
      <c r="AF254" s="399"/>
      <c r="AG254" s="400"/>
      <c r="AH254" s="401"/>
      <c r="AI254" s="2055"/>
    </row>
    <row r="255" spans="1:35">
      <c r="A255"/>
      <c r="B255"/>
      <c r="C255"/>
      <c r="D255"/>
      <c r="E255"/>
      <c r="F255" s="982"/>
      <c r="G255" s="983"/>
      <c r="H255"/>
      <c r="I255" s="1843"/>
      <c r="J255"/>
      <c r="K255"/>
      <c r="L255"/>
      <c r="O255" s="1933"/>
      <c r="P255" s="1938"/>
      <c r="Q255" s="1923"/>
      <c r="S255"/>
      <c r="T255"/>
      <c r="U255" s="464"/>
      <c r="V255"/>
      <c r="W255"/>
      <c r="X255"/>
      <c r="Y255"/>
      <c r="Z255" s="270"/>
      <c r="AA255"/>
      <c r="AB255"/>
      <c r="AD255" s="400"/>
      <c r="AE255" s="401"/>
      <c r="AF255" s="399"/>
      <c r="AG255" s="400"/>
      <c r="AH255" s="401"/>
      <c r="AI255" s="2055"/>
    </row>
    <row r="256" spans="1:35">
      <c r="A256"/>
      <c r="B256"/>
      <c r="C256"/>
      <c r="D256"/>
      <c r="E256"/>
      <c r="F256" s="982"/>
      <c r="G256" s="983"/>
      <c r="H256"/>
      <c r="I256" s="1843"/>
      <c r="J256"/>
      <c r="K256"/>
      <c r="L256"/>
      <c r="O256" s="1933"/>
      <c r="P256" s="1938"/>
      <c r="Q256" s="1923"/>
      <c r="S256"/>
      <c r="T256"/>
      <c r="U256" s="464"/>
      <c r="V256"/>
      <c r="W256"/>
      <c r="X256"/>
      <c r="Y256"/>
      <c r="Z256" s="270"/>
      <c r="AA256"/>
      <c r="AB256"/>
      <c r="AD256" s="400"/>
      <c r="AE256" s="401"/>
      <c r="AF256" s="399"/>
      <c r="AG256" s="400"/>
      <c r="AH256" s="401"/>
      <c r="AI256" s="2055"/>
    </row>
    <row r="257" spans="1:35">
      <c r="A257"/>
      <c r="B257"/>
      <c r="C257"/>
      <c r="D257"/>
      <c r="E257"/>
      <c r="F257" s="982"/>
      <c r="G257" s="983"/>
      <c r="H257"/>
      <c r="I257" s="1843"/>
      <c r="J257"/>
      <c r="K257"/>
      <c r="L257"/>
      <c r="O257" s="1933"/>
      <c r="P257" s="1938"/>
      <c r="Q257" s="1923"/>
      <c r="S257"/>
      <c r="T257"/>
      <c r="U257" s="464"/>
      <c r="V257"/>
      <c r="W257"/>
      <c r="X257"/>
      <c r="Y257"/>
      <c r="Z257" s="270"/>
      <c r="AA257"/>
      <c r="AB257"/>
      <c r="AD257" s="400"/>
      <c r="AE257" s="401"/>
      <c r="AF257" s="399"/>
      <c r="AG257" s="400"/>
      <c r="AH257" s="401"/>
      <c r="AI257" s="2055"/>
    </row>
    <row r="258" spans="1:35">
      <c r="A258"/>
      <c r="B258"/>
      <c r="C258"/>
      <c r="D258"/>
      <c r="E258"/>
      <c r="F258" s="982"/>
      <c r="G258" s="983"/>
      <c r="H258"/>
      <c r="I258" s="1843"/>
      <c r="J258"/>
      <c r="K258"/>
      <c r="L258"/>
      <c r="O258" s="1933"/>
      <c r="P258" s="1938"/>
      <c r="Q258" s="1923"/>
      <c r="S258"/>
      <c r="T258"/>
      <c r="U258" s="464"/>
      <c r="V258"/>
      <c r="W258"/>
      <c r="X258"/>
      <c r="Y258"/>
      <c r="Z258" s="270"/>
      <c r="AA258"/>
      <c r="AB258"/>
      <c r="AD258" s="400"/>
      <c r="AE258" s="401"/>
      <c r="AF258" s="399"/>
      <c r="AG258" s="400"/>
      <c r="AH258" s="401"/>
      <c r="AI258" s="2055"/>
    </row>
    <row r="259" spans="1:35">
      <c r="A259"/>
      <c r="B259"/>
      <c r="C259"/>
      <c r="D259"/>
      <c r="E259"/>
      <c r="F259" s="982"/>
      <c r="G259" s="983"/>
      <c r="H259"/>
      <c r="I259" s="1843"/>
      <c r="J259"/>
      <c r="K259"/>
      <c r="L259"/>
      <c r="O259" s="1933"/>
      <c r="P259" s="1938"/>
      <c r="Q259" s="1923"/>
      <c r="S259"/>
      <c r="T259"/>
      <c r="U259" s="464"/>
      <c r="V259"/>
      <c r="W259"/>
      <c r="X259"/>
      <c r="Y259"/>
      <c r="Z259" s="270"/>
      <c r="AA259"/>
      <c r="AB259"/>
      <c r="AD259" s="400"/>
      <c r="AE259" s="401"/>
      <c r="AF259" s="399"/>
      <c r="AG259" s="400"/>
      <c r="AH259" s="401"/>
      <c r="AI259" s="2055"/>
    </row>
    <row r="260" spans="1:35">
      <c r="A260"/>
      <c r="B260"/>
      <c r="C260"/>
      <c r="D260"/>
      <c r="E260"/>
      <c r="F260" s="982"/>
      <c r="G260" s="983"/>
      <c r="H260"/>
      <c r="I260" s="1843"/>
      <c r="J260"/>
      <c r="K260"/>
      <c r="L260"/>
      <c r="O260" s="1933"/>
      <c r="P260" s="1938"/>
      <c r="Q260" s="1923"/>
      <c r="S260"/>
      <c r="T260"/>
      <c r="U260" s="464"/>
      <c r="V260"/>
      <c r="W260"/>
      <c r="X260"/>
      <c r="Y260"/>
      <c r="Z260" s="270"/>
      <c r="AA260"/>
      <c r="AB260"/>
      <c r="AD260" s="400"/>
      <c r="AE260" s="401"/>
      <c r="AF260" s="399"/>
      <c r="AG260" s="400"/>
      <c r="AH260" s="401"/>
      <c r="AI260" s="2055"/>
    </row>
    <row r="261" spans="1:35">
      <c r="A261"/>
      <c r="B261"/>
      <c r="C261"/>
      <c r="D261"/>
      <c r="E261"/>
      <c r="F261" s="982"/>
      <c r="G261" s="983"/>
      <c r="H261"/>
      <c r="I261" s="1843"/>
      <c r="J261"/>
      <c r="K261"/>
      <c r="L261"/>
      <c r="O261" s="1933"/>
      <c r="P261" s="1938"/>
      <c r="Q261" s="1923"/>
      <c r="S261"/>
      <c r="T261"/>
      <c r="U261" s="464"/>
      <c r="V261"/>
      <c r="W261"/>
      <c r="X261"/>
      <c r="Y261"/>
      <c r="Z261" s="270"/>
      <c r="AA261"/>
      <c r="AB261"/>
      <c r="AD261" s="400"/>
      <c r="AE261" s="401"/>
      <c r="AF261" s="399"/>
      <c r="AG261" s="400"/>
      <c r="AH261" s="401"/>
      <c r="AI261" s="2055"/>
    </row>
    <row r="262" spans="1:35">
      <c r="A262"/>
      <c r="B262"/>
      <c r="C262"/>
      <c r="D262"/>
      <c r="E262"/>
      <c r="F262" s="982"/>
      <c r="G262" s="983"/>
      <c r="H262"/>
      <c r="I262" s="1843"/>
      <c r="J262"/>
      <c r="K262"/>
      <c r="L262"/>
      <c r="O262" s="1933"/>
      <c r="P262" s="1938"/>
      <c r="Q262" s="1923"/>
      <c r="S262"/>
      <c r="T262"/>
      <c r="U262" s="464"/>
      <c r="V262"/>
      <c r="W262"/>
      <c r="X262"/>
      <c r="Y262"/>
      <c r="Z262" s="270"/>
      <c r="AA262"/>
      <c r="AB262"/>
      <c r="AD262" s="400"/>
      <c r="AE262" s="401"/>
      <c r="AF262" s="399"/>
      <c r="AG262" s="400"/>
      <c r="AH262" s="401"/>
      <c r="AI262" s="2055"/>
    </row>
    <row r="263" spans="1:35">
      <c r="A263"/>
      <c r="B263"/>
      <c r="C263"/>
      <c r="D263"/>
      <c r="E263"/>
      <c r="F263" s="982"/>
      <c r="G263" s="983"/>
      <c r="H263"/>
      <c r="I263" s="1843"/>
      <c r="J263"/>
      <c r="K263"/>
      <c r="L263"/>
      <c r="O263" s="1933"/>
      <c r="P263" s="1938"/>
      <c r="Q263" s="1923"/>
      <c r="S263"/>
      <c r="T263"/>
      <c r="U263" s="464"/>
      <c r="V263"/>
      <c r="W263"/>
      <c r="X263"/>
      <c r="Y263"/>
      <c r="Z263" s="270"/>
      <c r="AA263"/>
      <c r="AB263"/>
      <c r="AF263" s="399"/>
      <c r="AI263" s="2055"/>
    </row>
    <row r="264" spans="1:35">
      <c r="A264"/>
      <c r="B264"/>
      <c r="C264"/>
      <c r="D264"/>
      <c r="E264"/>
      <c r="F264" s="982"/>
      <c r="G264" s="983"/>
      <c r="H264"/>
      <c r="I264" s="1843"/>
      <c r="J264"/>
      <c r="K264"/>
      <c r="L264"/>
      <c r="O264" s="1933"/>
      <c r="P264" s="1938"/>
      <c r="Q264" s="1923"/>
      <c r="S264"/>
      <c r="T264"/>
      <c r="U264" s="464"/>
      <c r="V264"/>
      <c r="W264"/>
      <c r="X264"/>
      <c r="Y264"/>
      <c r="Z264" s="270"/>
      <c r="AA264"/>
      <c r="AB264"/>
      <c r="AD264" s="400"/>
      <c r="AE264" s="401"/>
      <c r="AF264" s="399"/>
      <c r="AG264" s="400"/>
      <c r="AH264" s="401"/>
      <c r="AI264" s="2055"/>
    </row>
    <row r="265" spans="1:35">
      <c r="A265"/>
      <c r="B265"/>
      <c r="C265"/>
      <c r="D265"/>
      <c r="E265"/>
      <c r="F265" s="982"/>
      <c r="G265" s="983"/>
      <c r="H265"/>
      <c r="I265" s="1843"/>
      <c r="J265"/>
      <c r="K265"/>
      <c r="L265"/>
      <c r="O265" s="1933"/>
      <c r="P265" s="1938"/>
      <c r="Q265" s="1923"/>
      <c r="S265"/>
      <c r="T265"/>
      <c r="U265" s="464"/>
      <c r="V265"/>
      <c r="W265"/>
      <c r="X265"/>
      <c r="Y265"/>
      <c r="Z265" s="270"/>
      <c r="AA265"/>
      <c r="AB265"/>
      <c r="AD265" s="400"/>
      <c r="AE265" s="401"/>
      <c r="AF265" s="399"/>
      <c r="AG265" s="400"/>
      <c r="AH265" s="401"/>
      <c r="AI265" s="2055"/>
    </row>
    <row r="266" spans="1:35">
      <c r="A266"/>
      <c r="B266"/>
      <c r="C266"/>
      <c r="D266"/>
      <c r="E266"/>
      <c r="F266" s="982"/>
      <c r="G266" s="983"/>
      <c r="H266"/>
      <c r="I266" s="1843"/>
      <c r="J266"/>
      <c r="K266"/>
      <c r="L266"/>
      <c r="O266" s="1933"/>
      <c r="P266" s="1938"/>
      <c r="Q266" s="1923"/>
      <c r="S266"/>
      <c r="T266"/>
      <c r="U266" s="464"/>
      <c r="V266"/>
      <c r="W266"/>
      <c r="X266"/>
      <c r="Y266"/>
      <c r="Z266" s="270"/>
      <c r="AA266"/>
      <c r="AB266"/>
      <c r="AD266" s="400"/>
      <c r="AE266" s="401"/>
      <c r="AF266" s="399"/>
      <c r="AG266" s="400"/>
      <c r="AH266" s="401"/>
      <c r="AI266" s="2055"/>
    </row>
    <row r="267" spans="1:35">
      <c r="A267"/>
      <c r="B267"/>
      <c r="C267"/>
      <c r="D267"/>
      <c r="E267"/>
      <c r="F267" s="982"/>
      <c r="G267" s="983"/>
      <c r="H267"/>
      <c r="I267" s="1843"/>
      <c r="J267"/>
      <c r="K267"/>
      <c r="L267"/>
      <c r="O267" s="1933"/>
      <c r="P267" s="1938"/>
      <c r="Q267" s="1923"/>
      <c r="S267"/>
      <c r="T267"/>
      <c r="U267" s="464"/>
      <c r="V267"/>
      <c r="W267"/>
      <c r="X267"/>
      <c r="Y267"/>
      <c r="Z267" s="270"/>
      <c r="AA267"/>
      <c r="AB267"/>
      <c r="AD267" s="400"/>
      <c r="AE267" s="401"/>
      <c r="AF267" s="399"/>
      <c r="AG267" s="400"/>
      <c r="AH267" s="401"/>
      <c r="AI267" s="2055"/>
    </row>
    <row r="268" spans="1:35">
      <c r="A268"/>
      <c r="B268"/>
      <c r="C268"/>
      <c r="D268"/>
      <c r="E268"/>
      <c r="F268" s="982"/>
      <c r="G268" s="983"/>
      <c r="H268"/>
      <c r="I268" s="1843"/>
      <c r="J268"/>
      <c r="K268"/>
      <c r="L268"/>
      <c r="O268" s="1933"/>
      <c r="P268" s="1938"/>
      <c r="Q268" s="1923"/>
      <c r="S268"/>
      <c r="T268"/>
      <c r="U268" s="464"/>
      <c r="V268"/>
      <c r="W268"/>
      <c r="X268"/>
      <c r="Y268"/>
      <c r="Z268" s="270"/>
      <c r="AA268"/>
      <c r="AB268"/>
      <c r="AD268" s="400"/>
      <c r="AE268" s="401"/>
      <c r="AF268" s="399"/>
      <c r="AG268" s="400"/>
      <c r="AH268" s="401"/>
      <c r="AI268" s="2055"/>
    </row>
    <row r="269" spans="1:35">
      <c r="A269"/>
      <c r="B269"/>
      <c r="C269"/>
      <c r="D269"/>
      <c r="E269"/>
      <c r="F269" s="982"/>
      <c r="G269" s="983"/>
      <c r="H269"/>
      <c r="I269" s="1843"/>
      <c r="J269"/>
      <c r="K269"/>
      <c r="L269"/>
      <c r="O269" s="1933"/>
      <c r="P269" s="1938"/>
      <c r="Q269" s="1923"/>
      <c r="S269"/>
      <c r="T269"/>
      <c r="U269" s="464"/>
      <c r="V269"/>
      <c r="W269"/>
      <c r="X269"/>
      <c r="Y269"/>
      <c r="Z269" s="270"/>
      <c r="AA269"/>
      <c r="AB269"/>
      <c r="AD269" s="406"/>
      <c r="AE269" s="407"/>
      <c r="AF269" s="399"/>
      <c r="AG269" s="406"/>
      <c r="AH269" s="407"/>
      <c r="AI269" s="2055"/>
    </row>
    <row r="270" spans="1:35">
      <c r="A270"/>
      <c r="B270"/>
      <c r="C270"/>
      <c r="D270"/>
      <c r="E270"/>
      <c r="F270" s="982"/>
      <c r="G270" s="983"/>
      <c r="H270"/>
      <c r="I270" s="1843"/>
      <c r="J270"/>
      <c r="K270"/>
      <c r="L270"/>
      <c r="O270" s="1933"/>
      <c r="P270" s="1938"/>
      <c r="Q270" s="1923"/>
      <c r="S270"/>
      <c r="T270"/>
      <c r="U270" s="464"/>
      <c r="V270"/>
      <c r="W270"/>
      <c r="X270"/>
      <c r="Y270"/>
      <c r="Z270" s="270"/>
      <c r="AA270"/>
      <c r="AB270"/>
      <c r="AD270" s="408"/>
      <c r="AE270" s="409"/>
      <c r="AF270" s="399"/>
      <c r="AG270" s="408"/>
      <c r="AH270" s="409"/>
      <c r="AI270" s="2055"/>
    </row>
    <row r="271" spans="1:35">
      <c r="A271"/>
      <c r="B271"/>
      <c r="C271"/>
      <c r="D271"/>
      <c r="E271"/>
      <c r="F271" s="982"/>
      <c r="G271" s="983"/>
      <c r="H271"/>
      <c r="I271" s="1843"/>
      <c r="J271"/>
      <c r="K271"/>
      <c r="L271"/>
      <c r="O271" s="1933"/>
      <c r="P271" s="1938"/>
      <c r="Q271" s="1923"/>
      <c r="S271"/>
      <c r="T271"/>
      <c r="U271" s="464"/>
      <c r="V271"/>
      <c r="W271"/>
      <c r="X271"/>
      <c r="Y271"/>
      <c r="Z271" s="270"/>
      <c r="AA271"/>
      <c r="AB271"/>
      <c r="AD271" s="400"/>
      <c r="AE271" s="401"/>
      <c r="AF271" s="399"/>
      <c r="AG271" s="400"/>
      <c r="AH271" s="401"/>
      <c r="AI271" s="2055"/>
    </row>
    <row r="272" spans="1:35">
      <c r="A272"/>
      <c r="B272"/>
      <c r="C272"/>
      <c r="D272"/>
      <c r="E272"/>
      <c r="F272" s="982"/>
      <c r="G272" s="983"/>
      <c r="H272"/>
      <c r="I272" s="1843"/>
      <c r="J272"/>
      <c r="K272"/>
      <c r="L272"/>
      <c r="O272" s="1933"/>
      <c r="P272" s="1938"/>
      <c r="Q272" s="1923"/>
      <c r="S272"/>
      <c r="T272"/>
      <c r="U272" s="464"/>
      <c r="V272"/>
      <c r="W272"/>
      <c r="X272"/>
      <c r="Y272"/>
      <c r="Z272" s="270"/>
      <c r="AA272"/>
      <c r="AB272"/>
      <c r="AD272" s="400"/>
      <c r="AE272" s="401"/>
      <c r="AF272" s="399"/>
      <c r="AG272" s="400"/>
      <c r="AH272" s="401"/>
      <c r="AI272" s="2055"/>
    </row>
    <row r="273" spans="1:35">
      <c r="A273"/>
      <c r="B273"/>
      <c r="C273"/>
      <c r="D273"/>
      <c r="E273"/>
      <c r="F273" s="982"/>
      <c r="G273" s="983"/>
      <c r="H273"/>
      <c r="I273" s="1843"/>
      <c r="J273"/>
      <c r="K273"/>
      <c r="L273"/>
      <c r="O273" s="1933"/>
      <c r="P273" s="1938"/>
      <c r="Q273" s="1923"/>
      <c r="S273"/>
      <c r="T273"/>
      <c r="U273" s="464"/>
      <c r="V273"/>
      <c r="W273"/>
      <c r="X273"/>
      <c r="Y273"/>
      <c r="Z273" s="270"/>
      <c r="AA273"/>
      <c r="AB273"/>
      <c r="AD273" s="400"/>
      <c r="AE273" s="401"/>
      <c r="AF273" s="399"/>
      <c r="AG273" s="400"/>
      <c r="AH273" s="401"/>
      <c r="AI273" s="2055"/>
    </row>
    <row r="274" spans="1:35">
      <c r="A274"/>
      <c r="B274"/>
      <c r="C274"/>
      <c r="D274"/>
      <c r="E274"/>
      <c r="F274" s="982"/>
      <c r="G274" s="983"/>
      <c r="H274"/>
      <c r="I274" s="1843"/>
      <c r="J274"/>
      <c r="K274"/>
      <c r="L274"/>
      <c r="O274" s="1933"/>
      <c r="P274" s="1938"/>
      <c r="Q274" s="1923"/>
      <c r="S274"/>
      <c r="T274"/>
      <c r="U274" s="464"/>
      <c r="V274"/>
      <c r="W274"/>
      <c r="X274"/>
      <c r="Y274"/>
      <c r="Z274" s="270"/>
      <c r="AA274"/>
      <c r="AB274"/>
      <c r="AD274" s="400"/>
      <c r="AE274" s="401"/>
      <c r="AF274" s="399"/>
      <c r="AG274" s="400"/>
      <c r="AH274" s="401"/>
      <c r="AI274" s="2055"/>
    </row>
    <row r="275" spans="1:35">
      <c r="A275"/>
      <c r="B275"/>
      <c r="C275"/>
      <c r="D275"/>
      <c r="E275"/>
      <c r="F275" s="982"/>
      <c r="G275" s="983"/>
      <c r="H275"/>
      <c r="I275" s="1843"/>
      <c r="J275"/>
      <c r="K275"/>
      <c r="L275"/>
      <c r="O275" s="1933"/>
      <c r="P275" s="1938"/>
      <c r="Q275" s="1923"/>
      <c r="S275"/>
      <c r="T275"/>
      <c r="U275" s="464"/>
      <c r="V275"/>
      <c r="W275"/>
      <c r="X275"/>
      <c r="Y275"/>
      <c r="Z275" s="270"/>
      <c r="AA275"/>
      <c r="AB275"/>
      <c r="AD275" s="400"/>
      <c r="AE275" s="401"/>
      <c r="AF275" s="399"/>
      <c r="AG275" s="400"/>
      <c r="AH275" s="401"/>
      <c r="AI275" s="2055"/>
    </row>
    <row r="276" spans="1:35">
      <c r="A276"/>
      <c r="B276"/>
      <c r="C276"/>
      <c r="D276"/>
      <c r="E276"/>
      <c r="F276" s="982"/>
      <c r="G276" s="983"/>
      <c r="H276"/>
      <c r="I276" s="1843"/>
      <c r="J276"/>
      <c r="K276"/>
      <c r="L276"/>
      <c r="O276" s="1933"/>
      <c r="P276" s="1938"/>
      <c r="Q276" s="1923"/>
      <c r="S276"/>
      <c r="T276"/>
      <c r="U276" s="464"/>
      <c r="V276"/>
      <c r="W276"/>
      <c r="X276"/>
      <c r="Y276"/>
      <c r="Z276" s="270"/>
      <c r="AA276"/>
      <c r="AB276"/>
      <c r="AD276" s="400"/>
      <c r="AE276" s="401"/>
      <c r="AF276" s="399"/>
      <c r="AG276" s="400"/>
      <c r="AH276" s="401"/>
      <c r="AI276" s="2055"/>
    </row>
    <row r="277" spans="1:35">
      <c r="A277"/>
      <c r="B277"/>
      <c r="C277"/>
      <c r="D277"/>
      <c r="E277"/>
      <c r="F277" s="982"/>
      <c r="G277" s="983"/>
      <c r="H277"/>
      <c r="I277" s="1843"/>
      <c r="J277"/>
      <c r="K277"/>
      <c r="L277"/>
      <c r="O277" s="1933"/>
      <c r="P277" s="1938"/>
      <c r="Q277" s="1923"/>
      <c r="S277"/>
      <c r="T277"/>
      <c r="U277" s="464"/>
      <c r="V277"/>
      <c r="W277"/>
      <c r="X277"/>
      <c r="Y277"/>
      <c r="Z277" s="270"/>
      <c r="AA277"/>
      <c r="AB277"/>
      <c r="AD277" s="400"/>
      <c r="AE277" s="401"/>
      <c r="AF277" s="399"/>
      <c r="AG277" s="400"/>
      <c r="AH277" s="401"/>
      <c r="AI277" s="2055"/>
    </row>
    <row r="278" spans="1:35">
      <c r="A278"/>
      <c r="B278"/>
      <c r="C278"/>
      <c r="D278"/>
      <c r="E278"/>
      <c r="F278" s="982"/>
      <c r="G278" s="983"/>
      <c r="H278"/>
      <c r="I278" s="1843"/>
      <c r="J278"/>
      <c r="K278"/>
      <c r="L278"/>
      <c r="O278" s="1933"/>
      <c r="P278" s="1938"/>
      <c r="Q278" s="1923"/>
      <c r="S278"/>
      <c r="T278"/>
      <c r="U278" s="464"/>
      <c r="V278"/>
      <c r="W278"/>
      <c r="X278"/>
      <c r="Y278"/>
      <c r="Z278" s="270"/>
      <c r="AA278"/>
      <c r="AB278"/>
      <c r="AD278" s="400"/>
      <c r="AE278" s="401"/>
      <c r="AF278" s="399"/>
      <c r="AG278" s="400"/>
      <c r="AH278" s="401"/>
      <c r="AI278" s="2055"/>
    </row>
    <row r="279" spans="1:35">
      <c r="A279"/>
      <c r="B279"/>
      <c r="C279"/>
      <c r="D279"/>
      <c r="E279"/>
      <c r="F279" s="982"/>
      <c r="G279" s="983"/>
      <c r="H279"/>
      <c r="I279" s="1843"/>
      <c r="J279"/>
      <c r="K279"/>
      <c r="L279"/>
      <c r="O279" s="1933"/>
      <c r="P279" s="1938"/>
      <c r="Q279" s="1923"/>
      <c r="S279"/>
      <c r="T279"/>
      <c r="U279" s="464"/>
      <c r="V279"/>
      <c r="W279"/>
      <c r="X279"/>
      <c r="Y279"/>
      <c r="Z279" s="270"/>
      <c r="AA279"/>
      <c r="AB279"/>
      <c r="AD279" s="400"/>
      <c r="AE279" s="401"/>
      <c r="AF279" s="399"/>
      <c r="AG279" s="400"/>
      <c r="AH279" s="401"/>
      <c r="AI279" s="2055"/>
    </row>
    <row r="280" spans="1:35">
      <c r="A280"/>
      <c r="B280"/>
      <c r="C280"/>
      <c r="D280"/>
      <c r="E280"/>
      <c r="F280" s="982"/>
      <c r="G280" s="983"/>
      <c r="H280"/>
      <c r="I280" s="1843"/>
      <c r="J280"/>
      <c r="K280"/>
      <c r="L280"/>
      <c r="O280" s="1933"/>
      <c r="P280" s="1938"/>
      <c r="Q280" s="1923"/>
      <c r="S280"/>
      <c r="T280"/>
      <c r="U280" s="464"/>
      <c r="V280"/>
      <c r="W280"/>
      <c r="X280"/>
      <c r="Y280"/>
      <c r="Z280" s="270"/>
      <c r="AA280"/>
      <c r="AB280"/>
      <c r="AD280" s="400"/>
      <c r="AE280" s="401"/>
      <c r="AF280" s="399"/>
      <c r="AG280" s="400"/>
      <c r="AH280" s="401"/>
      <c r="AI280" s="2055"/>
    </row>
    <row r="281" spans="1:35">
      <c r="A281"/>
      <c r="B281"/>
      <c r="C281"/>
      <c r="D281"/>
      <c r="E281"/>
      <c r="F281" s="982"/>
      <c r="G281" s="983"/>
      <c r="H281"/>
      <c r="I281" s="1843"/>
      <c r="J281"/>
      <c r="K281"/>
      <c r="L281"/>
      <c r="O281" s="1933"/>
      <c r="P281" s="1938"/>
      <c r="Q281" s="1923"/>
      <c r="S281"/>
      <c r="T281"/>
      <c r="U281" s="464"/>
      <c r="V281"/>
      <c r="W281"/>
      <c r="X281"/>
      <c r="Y281"/>
      <c r="Z281" s="270"/>
      <c r="AA281"/>
      <c r="AB281"/>
      <c r="AF281" s="399"/>
      <c r="AI281" s="2055"/>
    </row>
    <row r="282" spans="1:35">
      <c r="A282"/>
      <c r="B282"/>
      <c r="C282"/>
      <c r="D282"/>
      <c r="E282"/>
      <c r="F282" s="982"/>
      <c r="G282" s="983"/>
      <c r="H282"/>
      <c r="I282" s="1843"/>
      <c r="J282"/>
      <c r="K282"/>
      <c r="L282"/>
      <c r="O282" s="1933"/>
      <c r="P282" s="1938"/>
      <c r="Q282" s="1923"/>
      <c r="S282"/>
      <c r="T282"/>
      <c r="U282" s="464"/>
      <c r="V282"/>
      <c r="W282"/>
      <c r="X282"/>
      <c r="Y282"/>
      <c r="Z282" s="270"/>
      <c r="AA282"/>
      <c r="AB282"/>
      <c r="AF282" s="399"/>
      <c r="AI282" s="2055"/>
    </row>
    <row r="283" spans="1:35">
      <c r="A283"/>
      <c r="B283"/>
      <c r="C283"/>
      <c r="D283"/>
      <c r="E283"/>
      <c r="F283" s="982"/>
      <c r="G283" s="983"/>
      <c r="H283"/>
      <c r="I283" s="1843"/>
      <c r="J283"/>
      <c r="K283"/>
      <c r="L283"/>
      <c r="O283" s="1933"/>
      <c r="P283" s="1938"/>
      <c r="Q283" s="1923"/>
      <c r="S283"/>
      <c r="T283"/>
      <c r="U283" s="464"/>
      <c r="V283"/>
      <c r="W283"/>
      <c r="X283"/>
      <c r="Y283"/>
      <c r="Z283" s="270"/>
      <c r="AA283"/>
      <c r="AB283"/>
      <c r="AD283" s="400"/>
      <c r="AE283" s="401"/>
      <c r="AF283" s="399"/>
      <c r="AG283" s="400"/>
      <c r="AH283" s="401"/>
      <c r="AI283" s="2055"/>
    </row>
    <row r="284" spans="1:35">
      <c r="A284"/>
      <c r="B284"/>
      <c r="C284"/>
      <c r="D284"/>
      <c r="E284"/>
      <c r="F284" s="982"/>
      <c r="G284" s="983"/>
      <c r="H284"/>
      <c r="I284" s="1843"/>
      <c r="J284"/>
      <c r="K284"/>
      <c r="L284"/>
      <c r="O284" s="1933"/>
      <c r="P284" s="1938"/>
      <c r="Q284" s="1923"/>
      <c r="S284"/>
      <c r="T284"/>
      <c r="U284" s="464"/>
      <c r="V284"/>
      <c r="W284"/>
      <c r="X284"/>
      <c r="Y284"/>
      <c r="Z284" s="270"/>
      <c r="AA284"/>
      <c r="AB284"/>
      <c r="AF284" s="399"/>
      <c r="AI284" s="2055"/>
    </row>
    <row r="285" spans="1:35">
      <c r="A285"/>
      <c r="B285"/>
      <c r="C285"/>
      <c r="D285"/>
      <c r="E285"/>
      <c r="F285" s="982"/>
      <c r="G285" s="983"/>
      <c r="H285"/>
      <c r="I285" s="1843"/>
      <c r="J285"/>
      <c r="K285"/>
      <c r="L285"/>
      <c r="O285" s="1933"/>
      <c r="P285" s="1938"/>
      <c r="Q285" s="1923"/>
      <c r="S285"/>
      <c r="T285"/>
      <c r="U285" s="464"/>
      <c r="V285"/>
      <c r="W285"/>
      <c r="X285"/>
      <c r="Y285"/>
      <c r="Z285" s="270"/>
      <c r="AA285"/>
      <c r="AB285"/>
      <c r="AD285" s="400"/>
      <c r="AE285" s="401"/>
      <c r="AF285" s="399"/>
      <c r="AG285" s="400"/>
      <c r="AH285" s="401"/>
      <c r="AI285" s="2055"/>
    </row>
    <row r="286" spans="1:35">
      <c r="A286"/>
      <c r="B286"/>
      <c r="C286"/>
      <c r="D286"/>
      <c r="E286"/>
      <c r="F286" s="982"/>
      <c r="G286" s="983"/>
      <c r="H286"/>
      <c r="I286" s="1843"/>
      <c r="J286"/>
      <c r="K286"/>
      <c r="L286"/>
      <c r="O286" s="1933"/>
      <c r="P286" s="1938"/>
      <c r="Q286" s="1923"/>
      <c r="S286"/>
      <c r="T286"/>
      <c r="U286" s="464"/>
      <c r="V286"/>
      <c r="W286"/>
      <c r="X286"/>
      <c r="Y286"/>
      <c r="Z286" s="270"/>
      <c r="AA286"/>
      <c r="AB286"/>
      <c r="AD286" s="400"/>
      <c r="AE286" s="401"/>
      <c r="AF286" s="399"/>
      <c r="AG286" s="400"/>
      <c r="AH286" s="401"/>
      <c r="AI286" s="2055"/>
    </row>
    <row r="287" spans="1:35">
      <c r="A287"/>
      <c r="B287"/>
      <c r="C287"/>
      <c r="D287"/>
      <c r="E287"/>
      <c r="F287" s="982"/>
      <c r="G287" s="983"/>
      <c r="H287"/>
      <c r="I287" s="1843"/>
      <c r="J287"/>
      <c r="K287"/>
      <c r="L287"/>
      <c r="O287" s="1933"/>
      <c r="P287" s="1938"/>
      <c r="Q287" s="1923"/>
      <c r="S287"/>
      <c r="T287"/>
      <c r="U287" s="464"/>
      <c r="V287"/>
      <c r="W287"/>
      <c r="X287"/>
      <c r="Y287"/>
      <c r="Z287" s="270"/>
      <c r="AA287"/>
      <c r="AB287"/>
      <c r="AD287" s="400"/>
      <c r="AE287" s="401"/>
      <c r="AF287" s="399"/>
      <c r="AG287" s="400"/>
      <c r="AH287" s="401"/>
      <c r="AI287" s="2055"/>
    </row>
    <row r="288" spans="1:35">
      <c r="A288"/>
      <c r="B288"/>
      <c r="C288"/>
      <c r="D288"/>
      <c r="E288"/>
      <c r="F288" s="982"/>
      <c r="G288" s="983"/>
      <c r="H288"/>
      <c r="I288" s="1843"/>
      <c r="J288"/>
      <c r="K288"/>
      <c r="L288"/>
      <c r="O288" s="1933"/>
      <c r="P288" s="1938"/>
      <c r="Q288" s="1923"/>
      <c r="S288"/>
      <c r="T288"/>
      <c r="U288" s="464"/>
      <c r="V288"/>
      <c r="W288"/>
      <c r="X288"/>
      <c r="Y288"/>
      <c r="Z288" s="270"/>
      <c r="AA288"/>
      <c r="AB288"/>
      <c r="AD288" s="400"/>
      <c r="AE288" s="401"/>
      <c r="AF288" s="399"/>
      <c r="AG288" s="400"/>
      <c r="AH288" s="401"/>
      <c r="AI288" s="2055"/>
    </row>
    <row r="289" spans="1:35">
      <c r="A289"/>
      <c r="B289"/>
      <c r="C289"/>
      <c r="D289"/>
      <c r="E289"/>
      <c r="F289" s="982"/>
      <c r="G289" s="983"/>
      <c r="H289"/>
      <c r="I289" s="1843"/>
      <c r="J289"/>
      <c r="K289"/>
      <c r="L289"/>
      <c r="O289" s="1933"/>
      <c r="P289" s="1938"/>
      <c r="Q289" s="1923"/>
      <c r="S289"/>
      <c r="T289"/>
      <c r="U289" s="464"/>
      <c r="V289"/>
      <c r="W289"/>
      <c r="X289"/>
      <c r="Y289"/>
      <c r="Z289" s="270"/>
      <c r="AA289"/>
      <c r="AB289"/>
      <c r="AF289" s="399"/>
      <c r="AI289" s="2055"/>
    </row>
    <row r="290" spans="1:35">
      <c r="A290"/>
      <c r="B290"/>
      <c r="C290"/>
      <c r="D290"/>
      <c r="E290"/>
      <c r="F290" s="982"/>
      <c r="G290" s="983"/>
      <c r="H290"/>
      <c r="I290" s="1843"/>
      <c r="J290"/>
      <c r="K290"/>
      <c r="L290"/>
      <c r="O290" s="1933"/>
      <c r="P290" s="1938"/>
      <c r="Q290" s="1923"/>
      <c r="S290"/>
      <c r="T290"/>
      <c r="U290" s="464"/>
      <c r="V290"/>
      <c r="W290"/>
      <c r="X290"/>
      <c r="Y290"/>
      <c r="Z290" s="270"/>
      <c r="AA290"/>
      <c r="AB290"/>
      <c r="AF290" s="399"/>
      <c r="AI290" s="2055"/>
    </row>
    <row r="291" spans="1:35">
      <c r="A291"/>
      <c r="B291"/>
      <c r="C291"/>
      <c r="D291"/>
      <c r="E291"/>
      <c r="F291" s="982"/>
      <c r="G291" s="983"/>
      <c r="H291"/>
      <c r="I291" s="1843"/>
      <c r="J291"/>
      <c r="K291"/>
      <c r="L291"/>
      <c r="O291" s="1933"/>
      <c r="P291" s="1938"/>
      <c r="Q291" s="1923"/>
      <c r="S291"/>
      <c r="T291"/>
      <c r="U291" s="464"/>
      <c r="V291"/>
      <c r="W291"/>
      <c r="X291"/>
      <c r="Y291"/>
      <c r="Z291" s="270"/>
      <c r="AA291"/>
      <c r="AB291"/>
      <c r="AD291" s="400"/>
      <c r="AE291" s="401"/>
      <c r="AF291" s="399"/>
      <c r="AG291" s="400"/>
      <c r="AH291" s="401"/>
      <c r="AI291" s="2055"/>
    </row>
    <row r="292" spans="1:35">
      <c r="A292"/>
      <c r="B292"/>
      <c r="C292"/>
      <c r="D292"/>
      <c r="E292"/>
      <c r="F292" s="982"/>
      <c r="G292" s="983"/>
      <c r="H292"/>
      <c r="I292" s="1843"/>
      <c r="J292"/>
      <c r="K292"/>
      <c r="L292"/>
      <c r="O292" s="1933"/>
      <c r="P292" s="1938"/>
      <c r="Q292" s="1923"/>
      <c r="S292"/>
      <c r="T292"/>
      <c r="U292" s="464"/>
      <c r="V292"/>
      <c r="W292"/>
      <c r="X292"/>
      <c r="Y292"/>
      <c r="Z292" s="270"/>
      <c r="AA292"/>
      <c r="AB292"/>
      <c r="AD292" s="400"/>
      <c r="AE292" s="401"/>
      <c r="AF292" s="399"/>
      <c r="AG292" s="400"/>
      <c r="AH292" s="401"/>
      <c r="AI292" s="2055"/>
    </row>
    <row r="293" spans="1:35">
      <c r="A293"/>
      <c r="B293"/>
      <c r="C293"/>
      <c r="D293"/>
      <c r="E293"/>
      <c r="F293" s="982"/>
      <c r="G293" s="983"/>
      <c r="H293"/>
      <c r="I293" s="1843"/>
      <c r="J293"/>
      <c r="K293"/>
      <c r="L293"/>
      <c r="O293" s="1933"/>
      <c r="P293" s="1938"/>
      <c r="Q293" s="1923"/>
      <c r="S293"/>
      <c r="T293"/>
      <c r="U293" s="464"/>
      <c r="V293"/>
      <c r="W293"/>
      <c r="X293"/>
      <c r="Y293"/>
      <c r="Z293" s="270"/>
      <c r="AA293"/>
      <c r="AB293"/>
      <c r="AD293" s="400"/>
      <c r="AE293" s="401"/>
      <c r="AF293" s="399"/>
      <c r="AG293" s="400"/>
      <c r="AH293" s="401"/>
      <c r="AI293" s="2055"/>
    </row>
    <row r="294" spans="1:35">
      <c r="A294"/>
      <c r="B294"/>
      <c r="C294"/>
      <c r="D294"/>
      <c r="E294"/>
      <c r="F294" s="982"/>
      <c r="G294" s="983"/>
      <c r="H294"/>
      <c r="I294" s="1843"/>
      <c r="J294"/>
      <c r="K294"/>
      <c r="L294"/>
      <c r="O294" s="1933"/>
      <c r="P294" s="1938"/>
      <c r="Q294" s="1923"/>
      <c r="S294"/>
      <c r="T294"/>
      <c r="U294" s="464"/>
      <c r="V294"/>
      <c r="W294"/>
      <c r="X294"/>
      <c r="Y294"/>
      <c r="Z294" s="270"/>
      <c r="AA294"/>
      <c r="AB294"/>
      <c r="AD294" s="400"/>
      <c r="AE294" s="401"/>
      <c r="AF294" s="399"/>
      <c r="AG294" s="400"/>
      <c r="AH294" s="401"/>
      <c r="AI294" s="2055"/>
    </row>
    <row r="295" spans="1:35">
      <c r="A295"/>
      <c r="B295"/>
      <c r="C295"/>
      <c r="D295"/>
      <c r="E295"/>
      <c r="F295" s="982"/>
      <c r="G295" s="983"/>
      <c r="H295"/>
      <c r="I295" s="1843"/>
      <c r="J295"/>
      <c r="K295"/>
      <c r="L295"/>
      <c r="O295" s="1933"/>
      <c r="P295" s="1938"/>
      <c r="Q295" s="1923"/>
      <c r="S295"/>
      <c r="T295"/>
      <c r="U295" s="464"/>
      <c r="V295"/>
      <c r="W295"/>
      <c r="X295"/>
      <c r="Y295"/>
      <c r="Z295" s="270"/>
      <c r="AA295"/>
      <c r="AB295"/>
      <c r="AD295" s="400"/>
      <c r="AE295" s="401"/>
      <c r="AF295" s="399"/>
      <c r="AG295" s="400"/>
      <c r="AH295" s="401"/>
      <c r="AI295" s="2055"/>
    </row>
    <row r="296" spans="1:35">
      <c r="A296"/>
      <c r="B296"/>
      <c r="C296"/>
      <c r="D296"/>
      <c r="E296"/>
      <c r="F296" s="982"/>
      <c r="G296" s="983"/>
      <c r="H296"/>
      <c r="I296" s="1843"/>
      <c r="J296"/>
      <c r="K296"/>
      <c r="L296"/>
      <c r="O296" s="1933"/>
      <c r="P296" s="1938"/>
      <c r="Q296" s="1923"/>
      <c r="S296"/>
      <c r="T296"/>
      <c r="U296" s="464"/>
      <c r="V296"/>
      <c r="W296"/>
      <c r="X296"/>
      <c r="Y296"/>
      <c r="Z296" s="270"/>
      <c r="AA296"/>
      <c r="AB296"/>
      <c r="AF296" s="399"/>
      <c r="AI296" s="2055"/>
    </row>
    <row r="297" spans="1:35">
      <c r="A297"/>
      <c r="B297"/>
      <c r="C297"/>
      <c r="D297"/>
      <c r="E297"/>
      <c r="F297" s="982"/>
      <c r="G297" s="983"/>
      <c r="H297"/>
      <c r="I297" s="1843"/>
      <c r="J297"/>
      <c r="K297"/>
      <c r="L297"/>
      <c r="O297" s="1933"/>
      <c r="P297" s="1938"/>
      <c r="Q297" s="1923"/>
      <c r="S297"/>
      <c r="T297"/>
      <c r="U297" s="464"/>
      <c r="V297"/>
      <c r="W297"/>
      <c r="X297"/>
      <c r="Y297"/>
      <c r="Z297" s="270"/>
      <c r="AA297"/>
      <c r="AB297"/>
      <c r="AD297" s="400"/>
      <c r="AE297" s="401"/>
      <c r="AF297" s="399"/>
      <c r="AG297" s="400"/>
      <c r="AH297" s="401"/>
      <c r="AI297" s="2055"/>
    </row>
    <row r="298" spans="1:35">
      <c r="A298"/>
      <c r="B298"/>
      <c r="C298"/>
      <c r="D298"/>
      <c r="E298"/>
      <c r="F298" s="982"/>
      <c r="G298" s="983"/>
      <c r="H298"/>
      <c r="I298" s="1843"/>
      <c r="J298"/>
      <c r="K298"/>
      <c r="L298"/>
      <c r="O298" s="1933"/>
      <c r="P298" s="1938"/>
      <c r="Q298" s="1923"/>
      <c r="S298"/>
      <c r="T298"/>
      <c r="U298" s="464"/>
      <c r="V298"/>
      <c r="W298"/>
      <c r="X298"/>
      <c r="Y298"/>
      <c r="Z298" s="270"/>
      <c r="AA298"/>
      <c r="AB298"/>
      <c r="AD298" s="400"/>
      <c r="AE298" s="401"/>
      <c r="AF298" s="399"/>
      <c r="AG298" s="400"/>
      <c r="AH298" s="401"/>
      <c r="AI298" s="2055"/>
    </row>
    <row r="299" spans="1:35">
      <c r="A299"/>
      <c r="B299"/>
      <c r="C299"/>
      <c r="D299"/>
      <c r="E299"/>
      <c r="F299" s="982"/>
      <c r="G299" s="983"/>
      <c r="H299"/>
      <c r="I299" s="1843"/>
      <c r="J299"/>
      <c r="K299"/>
      <c r="L299"/>
      <c r="O299" s="1933"/>
      <c r="P299" s="1938"/>
      <c r="Q299" s="1923"/>
      <c r="S299"/>
      <c r="T299"/>
      <c r="U299" s="464"/>
      <c r="V299"/>
      <c r="W299"/>
      <c r="X299"/>
      <c r="Y299"/>
      <c r="Z299" s="270"/>
      <c r="AA299"/>
      <c r="AB299"/>
      <c r="AF299" s="399"/>
      <c r="AI299" s="2055"/>
    </row>
    <row r="300" spans="1:35">
      <c r="A300"/>
      <c r="B300"/>
      <c r="C300"/>
      <c r="D300"/>
      <c r="E300"/>
      <c r="F300" s="982"/>
      <c r="G300" s="983"/>
      <c r="H300"/>
      <c r="I300" s="1843"/>
      <c r="J300"/>
      <c r="K300"/>
      <c r="L300"/>
      <c r="O300" s="1933"/>
      <c r="P300" s="1938"/>
      <c r="Q300" s="1923"/>
      <c r="S300"/>
      <c r="T300"/>
      <c r="U300" s="464"/>
      <c r="V300"/>
      <c r="W300"/>
      <c r="X300"/>
      <c r="Y300"/>
      <c r="Z300" s="270"/>
      <c r="AA300"/>
      <c r="AB300"/>
      <c r="AD300" s="400"/>
      <c r="AE300" s="401"/>
      <c r="AF300" s="399"/>
      <c r="AG300" s="400"/>
      <c r="AH300" s="401"/>
      <c r="AI300" s="2055"/>
    </row>
    <row r="301" spans="1:35">
      <c r="A301"/>
      <c r="B301"/>
      <c r="C301"/>
      <c r="D301"/>
      <c r="E301"/>
      <c r="F301" s="982"/>
      <c r="G301" s="983"/>
      <c r="H301"/>
      <c r="I301" s="1843"/>
      <c r="J301"/>
      <c r="K301"/>
      <c r="L301"/>
      <c r="O301" s="1933"/>
      <c r="P301" s="1938"/>
      <c r="Q301" s="1923"/>
      <c r="S301"/>
      <c r="T301"/>
      <c r="U301" s="464"/>
      <c r="V301"/>
      <c r="W301"/>
      <c r="X301"/>
      <c r="Y301"/>
      <c r="Z301" s="270"/>
      <c r="AA301"/>
      <c r="AB301"/>
      <c r="AD301" s="400"/>
      <c r="AE301" s="401"/>
      <c r="AF301" s="399"/>
      <c r="AG301" s="400"/>
      <c r="AH301" s="401"/>
      <c r="AI301" s="2055"/>
    </row>
    <row r="302" spans="1:35">
      <c r="A302"/>
      <c r="B302"/>
      <c r="C302"/>
      <c r="D302"/>
      <c r="E302"/>
      <c r="F302" s="982"/>
      <c r="G302" s="983"/>
      <c r="H302"/>
      <c r="I302" s="1843"/>
      <c r="J302"/>
      <c r="K302"/>
      <c r="L302"/>
      <c r="O302" s="1933"/>
      <c r="P302" s="1938"/>
      <c r="Q302" s="1923"/>
      <c r="S302"/>
      <c r="T302"/>
      <c r="U302" s="464"/>
      <c r="V302"/>
      <c r="W302"/>
      <c r="X302"/>
      <c r="Y302"/>
      <c r="Z302" s="270"/>
      <c r="AA302"/>
      <c r="AB302"/>
      <c r="AD302" s="400"/>
      <c r="AE302" s="401"/>
      <c r="AF302" s="399"/>
      <c r="AG302" s="400"/>
      <c r="AH302" s="401"/>
      <c r="AI302" s="2055"/>
    </row>
    <row r="303" spans="1:35">
      <c r="A303"/>
      <c r="B303"/>
      <c r="C303"/>
      <c r="D303"/>
      <c r="E303"/>
      <c r="F303" s="982"/>
      <c r="G303" s="983"/>
      <c r="H303"/>
      <c r="I303" s="1843"/>
      <c r="J303"/>
      <c r="K303"/>
      <c r="L303"/>
      <c r="O303" s="1933"/>
      <c r="P303" s="1938"/>
      <c r="Q303" s="1923"/>
      <c r="S303"/>
      <c r="T303"/>
      <c r="U303" s="464"/>
      <c r="V303"/>
      <c r="W303"/>
      <c r="X303"/>
      <c r="Y303"/>
      <c r="Z303" s="270"/>
      <c r="AA303"/>
      <c r="AB303"/>
      <c r="AD303" s="400"/>
      <c r="AE303" s="401"/>
      <c r="AF303" s="399"/>
      <c r="AG303" s="400"/>
      <c r="AH303" s="401"/>
      <c r="AI303" s="2055"/>
    </row>
    <row r="304" spans="1:35">
      <c r="A304"/>
      <c r="B304"/>
      <c r="C304"/>
      <c r="D304"/>
      <c r="E304"/>
      <c r="F304" s="982"/>
      <c r="G304" s="983"/>
      <c r="H304"/>
      <c r="I304" s="1843"/>
      <c r="J304"/>
      <c r="K304"/>
      <c r="L304"/>
      <c r="O304" s="1933"/>
      <c r="P304" s="1938"/>
      <c r="Q304" s="1923"/>
      <c r="S304"/>
      <c r="T304"/>
      <c r="U304" s="464"/>
      <c r="V304"/>
      <c r="W304"/>
      <c r="X304"/>
      <c r="Y304"/>
      <c r="Z304" s="270"/>
      <c r="AA304"/>
      <c r="AB304"/>
      <c r="AF304" s="399"/>
      <c r="AI304" s="2055"/>
    </row>
    <row r="305" spans="1:35">
      <c r="A305"/>
      <c r="B305"/>
      <c r="C305"/>
      <c r="D305"/>
      <c r="E305"/>
      <c r="F305" s="982"/>
      <c r="G305" s="983"/>
      <c r="H305"/>
      <c r="I305" s="1843"/>
      <c r="J305"/>
      <c r="K305"/>
      <c r="L305"/>
      <c r="O305" s="1933"/>
      <c r="P305" s="1938"/>
      <c r="Q305" s="1923"/>
      <c r="S305"/>
      <c r="T305"/>
      <c r="U305" s="464"/>
      <c r="V305"/>
      <c r="W305"/>
      <c r="X305"/>
      <c r="Y305"/>
      <c r="Z305" s="270"/>
      <c r="AA305"/>
      <c r="AB305"/>
      <c r="AD305" s="400"/>
      <c r="AE305" s="401"/>
      <c r="AF305" s="399"/>
      <c r="AG305" s="400"/>
      <c r="AH305" s="401"/>
      <c r="AI305" s="2055"/>
    </row>
    <row r="306" spans="1:35">
      <c r="A306"/>
      <c r="B306"/>
      <c r="C306"/>
      <c r="D306"/>
      <c r="E306"/>
      <c r="F306" s="982"/>
      <c r="G306" s="983"/>
      <c r="H306"/>
      <c r="I306" s="1843"/>
      <c r="J306"/>
      <c r="K306"/>
      <c r="L306"/>
      <c r="O306" s="1933"/>
      <c r="P306" s="1938"/>
      <c r="Q306" s="1923"/>
      <c r="S306"/>
      <c r="T306"/>
      <c r="U306" s="464"/>
      <c r="V306"/>
      <c r="W306"/>
      <c r="X306"/>
      <c r="Y306"/>
      <c r="Z306" s="270"/>
      <c r="AA306"/>
      <c r="AB306"/>
      <c r="AD306" s="400"/>
      <c r="AE306" s="401"/>
      <c r="AF306" s="399"/>
      <c r="AG306" s="400"/>
      <c r="AH306" s="401"/>
      <c r="AI306" s="2055"/>
    </row>
    <row r="307" spans="1:35">
      <c r="A307"/>
      <c r="B307"/>
      <c r="C307"/>
      <c r="D307"/>
      <c r="E307"/>
      <c r="F307" s="982"/>
      <c r="G307" s="983"/>
      <c r="H307"/>
      <c r="I307" s="1843"/>
      <c r="J307"/>
      <c r="K307"/>
      <c r="L307"/>
      <c r="O307" s="1933"/>
      <c r="P307" s="1938"/>
      <c r="Q307" s="1923"/>
      <c r="S307"/>
      <c r="T307"/>
      <c r="U307" s="464"/>
      <c r="V307"/>
      <c r="W307"/>
      <c r="X307"/>
      <c r="Y307"/>
      <c r="Z307" s="270"/>
      <c r="AA307"/>
      <c r="AB307"/>
      <c r="AD307" s="400"/>
      <c r="AE307" s="401"/>
      <c r="AF307" s="399"/>
      <c r="AG307" s="400"/>
      <c r="AH307" s="401"/>
      <c r="AI307" s="2055"/>
    </row>
    <row r="308" spans="1:35">
      <c r="A308"/>
      <c r="B308"/>
      <c r="C308"/>
      <c r="D308"/>
      <c r="E308"/>
      <c r="F308" s="982"/>
      <c r="G308" s="983"/>
      <c r="H308"/>
      <c r="I308" s="1843"/>
      <c r="J308"/>
      <c r="K308"/>
      <c r="L308"/>
      <c r="O308" s="1933"/>
      <c r="P308" s="1938"/>
      <c r="Q308" s="1923"/>
      <c r="S308"/>
      <c r="T308"/>
      <c r="U308" s="464"/>
      <c r="V308"/>
      <c r="W308"/>
      <c r="X308"/>
      <c r="Y308"/>
      <c r="Z308" s="270"/>
      <c r="AA308"/>
      <c r="AB308"/>
      <c r="AD308" s="400"/>
      <c r="AE308" s="401"/>
      <c r="AF308" s="399"/>
      <c r="AG308" s="400"/>
      <c r="AH308" s="401"/>
      <c r="AI308" s="2055"/>
    </row>
    <row r="309" spans="1:35">
      <c r="A309"/>
      <c r="B309"/>
      <c r="C309"/>
      <c r="D309"/>
      <c r="E309"/>
      <c r="F309" s="982"/>
      <c r="G309" s="983"/>
      <c r="H309"/>
      <c r="I309" s="1843"/>
      <c r="J309"/>
      <c r="K309"/>
      <c r="L309"/>
      <c r="O309" s="1933"/>
      <c r="P309" s="1938"/>
      <c r="Q309" s="1923"/>
      <c r="S309"/>
      <c r="T309"/>
      <c r="U309" s="464"/>
      <c r="V309"/>
      <c r="W309"/>
      <c r="X309"/>
      <c r="Y309"/>
      <c r="Z309" s="270"/>
      <c r="AA309"/>
      <c r="AB309"/>
      <c r="AD309" s="400"/>
      <c r="AE309" s="401"/>
      <c r="AF309" s="399"/>
      <c r="AG309" s="400"/>
      <c r="AH309" s="401"/>
      <c r="AI309" s="2055"/>
    </row>
    <row r="310" spans="1:35">
      <c r="A310"/>
      <c r="B310"/>
      <c r="C310"/>
      <c r="D310"/>
      <c r="E310"/>
      <c r="F310" s="982"/>
      <c r="G310" s="983"/>
      <c r="H310"/>
      <c r="I310" s="1843"/>
      <c r="J310"/>
      <c r="K310"/>
      <c r="L310"/>
      <c r="O310" s="1933"/>
      <c r="P310" s="1938"/>
      <c r="Q310" s="1923"/>
      <c r="S310"/>
      <c r="T310"/>
      <c r="U310" s="464"/>
      <c r="V310"/>
      <c r="W310"/>
      <c r="X310"/>
      <c r="Y310"/>
      <c r="Z310" s="270"/>
      <c r="AA310"/>
      <c r="AB310"/>
      <c r="AD310" s="400"/>
      <c r="AE310" s="401"/>
      <c r="AF310" s="399"/>
      <c r="AG310" s="400"/>
      <c r="AH310" s="401"/>
      <c r="AI310" s="2055"/>
    </row>
    <row r="311" spans="1:35">
      <c r="A311"/>
      <c r="B311"/>
      <c r="C311"/>
      <c r="D311"/>
      <c r="E311"/>
      <c r="F311" s="982"/>
      <c r="G311" s="983"/>
      <c r="H311"/>
      <c r="I311" s="1843"/>
      <c r="J311"/>
      <c r="K311"/>
      <c r="L311"/>
      <c r="O311" s="1933"/>
      <c r="P311" s="1938"/>
      <c r="Q311" s="1923"/>
      <c r="S311"/>
      <c r="T311"/>
      <c r="U311" s="464"/>
      <c r="V311"/>
      <c r="W311"/>
      <c r="X311"/>
      <c r="Y311"/>
      <c r="Z311" s="270"/>
      <c r="AA311"/>
      <c r="AB311"/>
      <c r="AD311" s="400"/>
      <c r="AE311" s="401"/>
      <c r="AF311" s="399"/>
      <c r="AG311" s="400"/>
      <c r="AH311" s="401"/>
      <c r="AI311" s="2055"/>
    </row>
    <row r="312" spans="1:35">
      <c r="A312"/>
      <c r="B312"/>
      <c r="C312"/>
      <c r="D312"/>
      <c r="E312"/>
      <c r="F312" s="982"/>
      <c r="G312" s="983"/>
      <c r="H312"/>
      <c r="I312" s="1843"/>
      <c r="J312"/>
      <c r="K312"/>
      <c r="L312"/>
      <c r="O312" s="1933"/>
      <c r="P312" s="1938"/>
      <c r="Q312" s="1923"/>
      <c r="S312"/>
      <c r="T312"/>
      <c r="U312" s="464"/>
      <c r="V312"/>
      <c r="W312"/>
      <c r="X312"/>
      <c r="Y312"/>
      <c r="Z312" s="270"/>
      <c r="AA312"/>
      <c r="AB312"/>
      <c r="AD312" s="400"/>
      <c r="AE312" s="401"/>
      <c r="AF312" s="399"/>
      <c r="AG312" s="400"/>
      <c r="AH312" s="401"/>
      <c r="AI312" s="2055"/>
    </row>
    <row r="313" spans="1:35">
      <c r="A313"/>
      <c r="B313"/>
      <c r="C313"/>
      <c r="D313"/>
      <c r="E313"/>
      <c r="F313" s="982"/>
      <c r="G313" s="983"/>
      <c r="H313"/>
      <c r="I313" s="1843"/>
      <c r="J313"/>
      <c r="K313"/>
      <c r="L313"/>
      <c r="O313" s="1933"/>
      <c r="P313" s="1938"/>
      <c r="Q313" s="1923"/>
      <c r="S313"/>
      <c r="T313"/>
      <c r="U313" s="464"/>
      <c r="V313"/>
      <c r="W313"/>
      <c r="X313"/>
      <c r="Y313"/>
      <c r="Z313" s="270"/>
      <c r="AA313"/>
      <c r="AB313"/>
      <c r="AD313" s="400"/>
      <c r="AE313" s="401"/>
      <c r="AF313" s="399"/>
      <c r="AG313" s="400"/>
      <c r="AH313" s="401"/>
      <c r="AI313" s="2055"/>
    </row>
    <row r="314" spans="1:35">
      <c r="A314"/>
      <c r="B314"/>
      <c r="C314"/>
      <c r="D314"/>
      <c r="E314"/>
      <c r="F314" s="982"/>
      <c r="G314" s="983"/>
      <c r="H314"/>
      <c r="I314" s="1843"/>
      <c r="J314"/>
      <c r="K314"/>
      <c r="L314"/>
      <c r="O314" s="1933"/>
      <c r="P314" s="1938"/>
      <c r="Q314" s="1923"/>
      <c r="S314"/>
      <c r="T314"/>
      <c r="U314" s="464"/>
      <c r="V314"/>
      <c r="W314"/>
      <c r="X314"/>
      <c r="Y314"/>
      <c r="Z314" s="270"/>
      <c r="AA314"/>
      <c r="AB314"/>
      <c r="AD314" s="400"/>
      <c r="AE314" s="401"/>
      <c r="AF314" s="399"/>
      <c r="AG314" s="400"/>
      <c r="AH314" s="401"/>
      <c r="AI314" s="2055"/>
    </row>
    <row r="315" spans="1:35">
      <c r="A315"/>
      <c r="B315"/>
      <c r="C315"/>
      <c r="D315"/>
      <c r="E315"/>
      <c r="F315" s="982"/>
      <c r="G315" s="983"/>
      <c r="H315"/>
      <c r="I315" s="1843"/>
      <c r="J315"/>
      <c r="K315"/>
      <c r="L315"/>
      <c r="O315" s="1933"/>
      <c r="P315" s="1938"/>
      <c r="Q315" s="1923"/>
      <c r="S315"/>
      <c r="T315"/>
      <c r="U315" s="464"/>
      <c r="V315"/>
      <c r="W315"/>
      <c r="X315"/>
      <c r="Y315"/>
      <c r="Z315" s="270"/>
      <c r="AA315"/>
      <c r="AB315"/>
      <c r="AD315" s="400"/>
      <c r="AE315" s="401"/>
      <c r="AF315" s="399"/>
      <c r="AG315" s="400"/>
      <c r="AH315" s="401"/>
      <c r="AI315" s="2055"/>
    </row>
    <row r="316" spans="1:35">
      <c r="A316"/>
      <c r="B316"/>
      <c r="C316"/>
      <c r="D316"/>
      <c r="E316"/>
      <c r="F316" s="982"/>
      <c r="G316" s="983"/>
      <c r="H316"/>
      <c r="I316" s="1843"/>
      <c r="J316"/>
      <c r="K316"/>
      <c r="L316"/>
      <c r="O316" s="1933"/>
      <c r="P316" s="1938"/>
      <c r="Q316" s="1923"/>
      <c r="S316"/>
      <c r="T316"/>
      <c r="U316" s="464"/>
      <c r="V316"/>
      <c r="W316"/>
      <c r="X316"/>
      <c r="Y316"/>
      <c r="Z316" s="270"/>
      <c r="AA316"/>
      <c r="AB316"/>
      <c r="AD316" s="400"/>
      <c r="AE316" s="401"/>
      <c r="AF316" s="399"/>
      <c r="AG316" s="400"/>
      <c r="AH316" s="401"/>
      <c r="AI316" s="2055"/>
    </row>
    <row r="317" spans="1:35">
      <c r="A317"/>
      <c r="B317"/>
      <c r="C317"/>
      <c r="D317"/>
      <c r="E317"/>
      <c r="F317" s="982"/>
      <c r="G317" s="983"/>
      <c r="H317"/>
      <c r="I317" s="1843"/>
      <c r="J317"/>
      <c r="K317"/>
      <c r="L317"/>
      <c r="O317" s="1933"/>
      <c r="P317" s="1938"/>
      <c r="Q317" s="1923"/>
      <c r="S317"/>
      <c r="T317"/>
      <c r="U317" s="464"/>
      <c r="V317"/>
      <c r="W317"/>
      <c r="X317"/>
      <c r="Y317"/>
      <c r="Z317" s="270"/>
      <c r="AA317"/>
      <c r="AB317"/>
      <c r="AD317" s="400"/>
      <c r="AE317" s="401"/>
      <c r="AF317" s="399"/>
      <c r="AG317" s="400"/>
      <c r="AH317" s="401"/>
      <c r="AI317" s="2055"/>
    </row>
    <row r="318" spans="1:35">
      <c r="A318"/>
      <c r="B318"/>
      <c r="C318"/>
      <c r="D318"/>
      <c r="E318"/>
      <c r="F318" s="982"/>
      <c r="G318" s="983"/>
      <c r="H318"/>
      <c r="I318" s="1843"/>
      <c r="J318"/>
      <c r="K318"/>
      <c r="L318"/>
      <c r="O318" s="1933"/>
      <c r="P318" s="1938"/>
      <c r="Q318" s="1923"/>
      <c r="S318"/>
      <c r="T318"/>
      <c r="U318" s="464"/>
      <c r="V318"/>
      <c r="W318"/>
      <c r="X318"/>
      <c r="Y318"/>
      <c r="Z318" s="270"/>
      <c r="AA318"/>
      <c r="AB318"/>
      <c r="AD318" s="400"/>
      <c r="AE318" s="401"/>
      <c r="AF318" s="399"/>
      <c r="AG318" s="400"/>
      <c r="AH318" s="401"/>
      <c r="AI318" s="2055"/>
    </row>
    <row r="319" spans="1:35">
      <c r="A319"/>
      <c r="B319"/>
      <c r="C319"/>
      <c r="D319"/>
      <c r="E319"/>
      <c r="F319" s="982"/>
      <c r="G319" s="983"/>
      <c r="H319"/>
      <c r="I319" s="1843"/>
      <c r="J319"/>
      <c r="K319"/>
      <c r="L319"/>
      <c r="O319" s="1933"/>
      <c r="P319" s="1938"/>
      <c r="Q319" s="1923"/>
      <c r="S319"/>
      <c r="T319"/>
      <c r="U319" s="464"/>
      <c r="V319"/>
      <c r="W319"/>
      <c r="X319"/>
      <c r="Y319"/>
      <c r="Z319" s="270"/>
      <c r="AA319"/>
      <c r="AB319"/>
      <c r="AD319" s="400"/>
      <c r="AE319" s="401"/>
      <c r="AF319" s="399"/>
      <c r="AG319" s="400"/>
      <c r="AH319" s="401"/>
      <c r="AI319" s="2055"/>
    </row>
    <row r="322" spans="1:35">
      <c r="A322"/>
      <c r="B322"/>
      <c r="C322"/>
      <c r="D322"/>
      <c r="E322"/>
      <c r="F322" s="982"/>
      <c r="G322" s="983"/>
      <c r="H322"/>
      <c r="I322" s="1843"/>
      <c r="J322"/>
      <c r="K322"/>
      <c r="L322"/>
      <c r="O322" s="1933"/>
      <c r="P322" s="1938"/>
      <c r="Q322" s="1923"/>
      <c r="S322"/>
      <c r="T322"/>
      <c r="U322" s="464"/>
      <c r="V322"/>
      <c r="W322"/>
      <c r="X322"/>
      <c r="Y322"/>
      <c r="Z322" s="270"/>
      <c r="AA322"/>
      <c r="AB322"/>
      <c r="AF322" s="399"/>
      <c r="AI322" s="2055"/>
    </row>
    <row r="323" spans="1:35">
      <c r="A323"/>
      <c r="B323"/>
      <c r="C323"/>
      <c r="D323"/>
      <c r="E323"/>
      <c r="F323" s="982"/>
      <c r="G323" s="983"/>
      <c r="H323"/>
      <c r="I323" s="1843"/>
      <c r="J323"/>
      <c r="K323"/>
      <c r="L323"/>
      <c r="O323" s="1933"/>
      <c r="P323" s="1938"/>
      <c r="Q323" s="1923"/>
      <c r="S323"/>
      <c r="T323"/>
      <c r="U323" s="464"/>
      <c r="V323"/>
      <c r="W323"/>
      <c r="X323"/>
      <c r="Y323"/>
      <c r="Z323" s="270"/>
      <c r="AA323"/>
      <c r="AB323"/>
      <c r="AF323" s="399"/>
      <c r="AI323" s="2055"/>
    </row>
    <row r="324" spans="1:35">
      <c r="A324"/>
      <c r="B324"/>
      <c r="C324"/>
      <c r="D324"/>
      <c r="E324"/>
      <c r="F324" s="982"/>
      <c r="G324" s="983"/>
      <c r="H324"/>
      <c r="I324" s="1843"/>
      <c r="J324"/>
      <c r="K324"/>
      <c r="L324"/>
      <c r="O324" s="1933"/>
      <c r="P324" s="1938"/>
      <c r="Q324" s="1923"/>
      <c r="S324"/>
      <c r="T324"/>
      <c r="U324" s="464"/>
      <c r="V324"/>
      <c r="W324"/>
      <c r="X324"/>
      <c r="Y324"/>
      <c r="Z324" s="270"/>
      <c r="AA324"/>
      <c r="AB324"/>
      <c r="AF324" s="399"/>
      <c r="AI324" s="2055"/>
    </row>
    <row r="325" spans="1:35">
      <c r="A325"/>
      <c r="B325"/>
      <c r="C325"/>
      <c r="D325"/>
      <c r="E325"/>
      <c r="F325" s="982"/>
      <c r="G325" s="983"/>
      <c r="H325"/>
      <c r="I325" s="1843"/>
      <c r="J325"/>
      <c r="K325"/>
      <c r="L325"/>
      <c r="O325" s="1933"/>
      <c r="P325" s="1938"/>
      <c r="Q325" s="1923"/>
      <c r="S325"/>
      <c r="T325"/>
      <c r="U325" s="464"/>
      <c r="V325"/>
      <c r="W325"/>
      <c r="X325"/>
      <c r="Y325"/>
      <c r="Z325" s="270"/>
      <c r="AA325"/>
      <c r="AB325"/>
      <c r="AF325" s="399"/>
      <c r="AI325" s="2055"/>
    </row>
    <row r="326" spans="1:35">
      <c r="A326"/>
      <c r="B326"/>
      <c r="C326"/>
      <c r="D326"/>
      <c r="E326"/>
      <c r="F326" s="982"/>
      <c r="G326" s="983"/>
      <c r="H326"/>
      <c r="I326" s="1843"/>
      <c r="J326"/>
      <c r="K326"/>
      <c r="L326"/>
      <c r="O326" s="1933"/>
      <c r="P326" s="1938"/>
      <c r="Q326" s="1923"/>
      <c r="S326"/>
      <c r="T326"/>
      <c r="U326" s="464"/>
      <c r="V326"/>
      <c r="W326"/>
      <c r="X326"/>
      <c r="Y326"/>
      <c r="Z326" s="270"/>
      <c r="AA326"/>
      <c r="AB326"/>
      <c r="AF326" s="399"/>
      <c r="AI326" s="2055"/>
    </row>
    <row r="328" spans="1:35">
      <c r="A328"/>
      <c r="B328"/>
      <c r="C328"/>
      <c r="D328"/>
      <c r="E328"/>
      <c r="F328" s="982"/>
      <c r="G328" s="983"/>
      <c r="H328"/>
      <c r="I328" s="1843"/>
      <c r="J328"/>
      <c r="K328"/>
      <c r="L328"/>
      <c r="O328" s="1933"/>
      <c r="P328" s="1938"/>
      <c r="Q328" s="1923"/>
      <c r="S328"/>
      <c r="T328"/>
      <c r="U328" s="464"/>
      <c r="V328"/>
      <c r="W328"/>
      <c r="X328"/>
      <c r="Y328"/>
      <c r="Z328" s="270"/>
      <c r="AA328"/>
      <c r="AB328"/>
      <c r="AF328" s="399"/>
      <c r="AI328" s="2055"/>
    </row>
    <row r="329" spans="1:35">
      <c r="A329"/>
      <c r="B329"/>
      <c r="C329"/>
      <c r="D329"/>
      <c r="E329"/>
      <c r="F329" s="982"/>
      <c r="G329" s="983"/>
      <c r="H329"/>
      <c r="I329" s="1843"/>
      <c r="J329"/>
      <c r="K329"/>
      <c r="L329"/>
      <c r="O329" s="1933"/>
      <c r="P329" s="1938"/>
      <c r="Q329" s="1923"/>
      <c r="S329"/>
      <c r="T329"/>
      <c r="U329" s="464"/>
      <c r="V329"/>
      <c r="W329"/>
      <c r="X329"/>
      <c r="Y329"/>
      <c r="Z329" s="270"/>
      <c r="AA329"/>
      <c r="AB329"/>
      <c r="AF329" s="399"/>
      <c r="AI329" s="2055"/>
    </row>
    <row r="330" spans="1:35">
      <c r="A330"/>
      <c r="B330"/>
      <c r="C330"/>
      <c r="D330"/>
      <c r="E330"/>
      <c r="F330" s="982"/>
      <c r="G330" s="983"/>
      <c r="H330"/>
      <c r="I330" s="1843"/>
      <c r="J330"/>
      <c r="K330"/>
      <c r="L330"/>
      <c r="O330" s="1933"/>
      <c r="P330" s="1938"/>
      <c r="Q330" s="1923"/>
      <c r="S330"/>
      <c r="T330"/>
      <c r="U330" s="464"/>
      <c r="V330"/>
      <c r="W330"/>
      <c r="X330"/>
      <c r="Y330"/>
      <c r="Z330" s="270"/>
      <c r="AA330"/>
      <c r="AB330"/>
      <c r="AF330" s="399"/>
      <c r="AI330" s="2055"/>
    </row>
    <row r="331" spans="1:35">
      <c r="A331"/>
      <c r="B331"/>
      <c r="C331"/>
      <c r="D331"/>
      <c r="E331"/>
      <c r="F331" s="982"/>
      <c r="G331" s="983"/>
      <c r="H331"/>
      <c r="I331" s="1843"/>
      <c r="J331"/>
      <c r="K331"/>
      <c r="L331"/>
      <c r="O331" s="1933"/>
      <c r="P331" s="1938"/>
      <c r="Q331" s="1923"/>
      <c r="S331"/>
      <c r="T331"/>
      <c r="U331" s="464"/>
      <c r="V331"/>
      <c r="W331"/>
      <c r="X331"/>
      <c r="Y331"/>
      <c r="Z331" s="270"/>
      <c r="AA331"/>
      <c r="AB331"/>
      <c r="AF331" s="399"/>
      <c r="AI331" s="2055"/>
    </row>
  </sheetData>
  <sheetProtection algorithmName="SHA-512" hashValue="x2hgANFRy2fwKxCKQVmX7wICYeu4xl+Yeq+YntEI6NPB85e0B2GcacfEzlE63IiqDEtzhRk4sU7bp2ZLu70IXQ==" saltValue="PauR18jDmuV6jwPAQ+JHBA==" spinCount="100000" sheet="1" selectLockedCells="1"/>
  <mergeCells count="86">
    <mergeCell ref="C186:D186"/>
    <mergeCell ref="F1:G1"/>
    <mergeCell ref="G55:G56"/>
    <mergeCell ref="F54:G54"/>
    <mergeCell ref="F64:G64"/>
    <mergeCell ref="B182:C182"/>
    <mergeCell ref="E18:E20"/>
    <mergeCell ref="E33:E38"/>
    <mergeCell ref="B12:C12"/>
    <mergeCell ref="B13:C13"/>
    <mergeCell ref="B15:C15"/>
    <mergeCell ref="C28:C38"/>
    <mergeCell ref="B14:C14"/>
    <mergeCell ref="B4:C4"/>
    <mergeCell ref="B16:C16"/>
    <mergeCell ref="A32:B32"/>
    <mergeCell ref="A185:D185"/>
    <mergeCell ref="B179:C179"/>
    <mergeCell ref="B180:C180"/>
    <mergeCell ref="AJ1:AJ4"/>
    <mergeCell ref="N1:N4"/>
    <mergeCell ref="B48:D48"/>
    <mergeCell ref="B181:C181"/>
    <mergeCell ref="B171:C171"/>
    <mergeCell ref="B175:C175"/>
    <mergeCell ref="B176:C176"/>
    <mergeCell ref="B177:C177"/>
    <mergeCell ref="B178:C178"/>
    <mergeCell ref="B169:C169"/>
    <mergeCell ref="B81:D81"/>
    <mergeCell ref="B113:D113"/>
    <mergeCell ref="B1:C1"/>
    <mergeCell ref="B164:C164"/>
    <mergeCell ref="C18:C20"/>
    <mergeCell ref="B116:C116"/>
    <mergeCell ref="B120:D120"/>
    <mergeCell ref="B125:C125"/>
    <mergeCell ref="B165:C165"/>
    <mergeCell ref="A41:B41"/>
    <mergeCell ref="B42:D42"/>
    <mergeCell ref="B149:C149"/>
    <mergeCell ref="C122:D122"/>
    <mergeCell ref="B79:C79"/>
    <mergeCell ref="B109:C109"/>
    <mergeCell ref="B49:D49"/>
    <mergeCell ref="C73:D73"/>
    <mergeCell ref="A51:B51"/>
    <mergeCell ref="A63:B63"/>
    <mergeCell ref="B85:C85"/>
    <mergeCell ref="B140:C140"/>
    <mergeCell ref="B133:C133"/>
    <mergeCell ref="B114:D114"/>
    <mergeCell ref="B163:C163"/>
    <mergeCell ref="B172:C172"/>
    <mergeCell ref="B173:C173"/>
    <mergeCell ref="B174:C174"/>
    <mergeCell ref="F162:G162"/>
    <mergeCell ref="Z142:Z143"/>
    <mergeCell ref="X142:X143"/>
    <mergeCell ref="F142:F143"/>
    <mergeCell ref="B170:C170"/>
    <mergeCell ref="G142:G143"/>
    <mergeCell ref="B168:C168"/>
    <mergeCell ref="B167:C167"/>
    <mergeCell ref="B166:C166"/>
    <mergeCell ref="B162:C162"/>
    <mergeCell ref="H142:H145"/>
    <mergeCell ref="W142:W143"/>
    <mergeCell ref="T142:T143"/>
    <mergeCell ref="E66:E72"/>
    <mergeCell ref="A76:B76"/>
    <mergeCell ref="A107:B107"/>
    <mergeCell ref="E105:E106"/>
    <mergeCell ref="B105:D105"/>
    <mergeCell ref="B106:D106"/>
    <mergeCell ref="B89:C89"/>
    <mergeCell ref="C88:D88"/>
    <mergeCell ref="B82:D82"/>
    <mergeCell ref="B3:D3"/>
    <mergeCell ref="U55:U56"/>
    <mergeCell ref="V55:V56"/>
    <mergeCell ref="F55:F56"/>
    <mergeCell ref="E55:E58"/>
    <mergeCell ref="F57:G57"/>
    <mergeCell ref="B6:D6"/>
    <mergeCell ref="B39:D39"/>
  </mergeCells>
  <phoneticPr fontId="59" type="noConversion"/>
  <conditionalFormatting sqref="A1">
    <cfRule type="containsText" dxfId="27" priority="54" operator="containsText" text="F">
      <formula>NOT(ISERROR(SEARCH("F",A1)))</formula>
    </cfRule>
  </conditionalFormatting>
  <conditionalFormatting sqref="F55">
    <cfRule type="cellIs" dxfId="26" priority="45" operator="lessThan">
      <formula>0.15</formula>
    </cfRule>
  </conditionalFormatting>
  <conditionalFormatting sqref="F58">
    <cfRule type="cellIs" dxfId="25" priority="44" operator="greaterThan">
      <formula>0.3</formula>
    </cfRule>
  </conditionalFormatting>
  <conditionalFormatting sqref="F65:F66">
    <cfRule type="cellIs" dxfId="24" priority="53" operator="lessThan">
      <formula>20</formula>
    </cfRule>
  </conditionalFormatting>
  <conditionalFormatting sqref="F67:F72">
    <cfRule type="cellIs" dxfId="23" priority="1" operator="lessThan">
      <formula>16</formula>
    </cfRule>
  </conditionalFormatting>
  <conditionalFormatting sqref="F74">
    <cfRule type="cellIs" dxfId="22" priority="51" operator="lessThan">
      <formula>40</formula>
    </cfRule>
  </conditionalFormatting>
  <conditionalFormatting sqref="F103">
    <cfRule type="cellIs" dxfId="21" priority="56" operator="lessThan">
      <formula>$S$77</formula>
    </cfRule>
  </conditionalFormatting>
  <conditionalFormatting sqref="F135 G142">
    <cfRule type="cellIs" dxfId="20" priority="57" operator="lessThan">
      <formula>$X$135</formula>
    </cfRule>
  </conditionalFormatting>
  <conditionalFormatting sqref="F137">
    <cfRule type="cellIs" dxfId="19" priority="58" operator="lessThan">
      <formula>$X$137</formula>
    </cfRule>
  </conditionalFormatting>
  <conditionalFormatting sqref="F142">
    <cfRule type="cellIs" dxfId="18" priority="37" operator="lessThan">
      <formula>$AA$56</formula>
    </cfRule>
  </conditionalFormatting>
  <conditionalFormatting sqref="F148">
    <cfRule type="cellIs" dxfId="17" priority="33" operator="lessThan">
      <formula>$X$61</formula>
    </cfRule>
  </conditionalFormatting>
  <conditionalFormatting sqref="F153">
    <cfRule type="cellIs" dxfId="16" priority="59" operator="lessThan">
      <formula>$X$153</formula>
    </cfRule>
  </conditionalFormatting>
  <conditionalFormatting sqref="F163:F182">
    <cfRule type="cellIs" dxfId="15" priority="4" operator="lessThan">
      <formula>40</formula>
    </cfRule>
  </conditionalFormatting>
  <conditionalFormatting sqref="F149:G149">
    <cfRule type="cellIs" dxfId="14" priority="31" operator="lessThan">
      <formula>0.8</formula>
    </cfRule>
  </conditionalFormatting>
  <conditionalFormatting sqref="X61">
    <cfRule type="cellIs" dxfId="13" priority="3" operator="lessThan">
      <formula>$X$61</formula>
    </cfRule>
  </conditionalFormatting>
  <dataValidations count="20">
    <dataValidation type="whole" allowBlank="1" showInputMessage="1" showErrorMessage="1" sqref="B55:D58 B44 B53:C53" xr:uid="{00000000-0002-0000-0500-000000000000}">
      <formula1>1</formula1>
      <formula2>99999</formula2>
    </dataValidation>
    <dataValidation type="whole" allowBlank="1" showInputMessage="1" showErrorMessage="1" sqref="B22" xr:uid="{00000000-0002-0000-0500-000001000000}">
      <formula1>6</formula1>
      <formula2>99</formula2>
    </dataValidation>
    <dataValidation type="whole" allowBlank="1" showInputMessage="1" showErrorMessage="1" sqref="B31" xr:uid="{00000000-0002-0000-0500-000002000000}">
      <formula1>4</formula1>
      <formula2>99</formula2>
    </dataValidation>
    <dataValidation type="whole" allowBlank="1" showInputMessage="1" showErrorMessage="1" sqref="D80 D112 D86 D119" xr:uid="{00000000-0002-0000-0500-000003000000}">
      <formula1>1970</formula1>
      <formula2>2099</formula2>
    </dataValidation>
    <dataValidation type="decimal" allowBlank="1" showInputMessage="1" showErrorMessage="1" sqref="B74 D65:D72 B142:D147" xr:uid="{00000000-0002-0000-0500-000004000000}">
      <formula1>0</formula1>
      <formula2>99999</formula2>
    </dataValidation>
    <dataValidation type="whole" allowBlank="1" showInputMessage="1" showErrorMessage="1" sqref="B43" xr:uid="{00000000-0002-0000-0500-000005000000}">
      <formula1>1</formula1>
      <formula2>9999999</formula2>
    </dataValidation>
    <dataValidation type="whole" allowBlank="1" showInputMessage="1" showErrorMessage="1" sqref="B45:B47 D166:D181 C65:C72 B70:B72 D163:D164" xr:uid="{00000000-0002-0000-0500-000006000000}">
      <formula1>0</formula1>
      <formula2>99999</formula2>
    </dataValidation>
    <dataValidation type="list" allowBlank="1" showInputMessage="1" showErrorMessage="1" sqref="D18:D20" xr:uid="{00000000-0002-0000-0500-000007000000}">
      <formula1>#REF!</formula1>
    </dataValidation>
    <dataValidation type="whole" allowBlank="1" showInputMessage="1" showErrorMessage="1" sqref="B91:C91" xr:uid="{00000000-0002-0000-0500-000008000000}">
      <formula1>0</formula1>
      <formula2>199</formula2>
    </dataValidation>
    <dataValidation type="decimal" allowBlank="1" showInputMessage="1" showErrorMessage="1" sqref="B151:D154 B135:D138" xr:uid="{00000000-0002-0000-0500-000009000000}">
      <formula1>0</formula1>
      <formula2>9999</formula2>
    </dataValidation>
    <dataValidation type="date" allowBlank="1" showInputMessage="1" showErrorMessage="1" sqref="B10" xr:uid="{00000000-0002-0000-0500-00000A000000}">
      <formula1>36526</formula1>
      <formula2>54789</formula2>
    </dataValidation>
    <dataValidation type="whole" allowBlank="1" showInputMessage="1" showErrorMessage="1" sqref="B23:B24" xr:uid="{00000000-0002-0000-0500-00000B000000}">
      <formula1>1950</formula1>
      <formula2>2050</formula2>
    </dataValidation>
    <dataValidation type="date" allowBlank="1" showInputMessage="1" showErrorMessage="1" sqref="B28:B30" xr:uid="{00000000-0002-0000-0500-00000C000000}">
      <formula1>18264</formula1>
      <formula2>54789</formula2>
    </dataValidation>
    <dataValidation type="decimal" allowBlank="1" showInputMessage="1" showErrorMessage="1" sqref="B110:B111 B84 B92:D92 B101:D101 B117:B118" xr:uid="{00000000-0002-0000-0500-00000D000000}">
      <formula1>0</formula1>
      <formula2>1</formula2>
    </dataValidation>
    <dataValidation type="time" allowBlank="1" showInputMessage="1" showErrorMessage="1" sqref="B126:C126" xr:uid="{00000000-0002-0000-0500-00000E000000}">
      <formula1>0.291666666666667</formula1>
      <formula2>0.416666666666667</formula2>
    </dataValidation>
    <dataValidation type="decimal" allowBlank="1" showInputMessage="1" showErrorMessage="1" sqref="B124:C124" xr:uid="{00000000-0002-0000-0500-00000F000000}">
      <formula1>150</formula1>
      <formula2>210</formula2>
    </dataValidation>
    <dataValidation type="whole" allowBlank="1" showInputMessage="1" showErrorMessage="1" sqref="B128:C128" xr:uid="{00000000-0002-0000-0500-000010000000}">
      <formula1>2</formula1>
      <formula2>5</formula2>
    </dataValidation>
    <dataValidation type="time" allowBlank="1" showInputMessage="1" showErrorMessage="1" sqref="B129:C129" xr:uid="{00000000-0002-0000-0500-000011000000}">
      <formula1>0.0208333333333333</formula1>
      <formula2>0.25</formula2>
    </dataValidation>
    <dataValidation type="time" allowBlank="1" showInputMessage="1" showErrorMessage="1" sqref="B131:C131" xr:uid="{00000000-0002-0000-0500-000012000000}">
      <formula1>0</formula1>
      <formula2>0.25</formula2>
    </dataValidation>
    <dataValidation type="decimal" allowBlank="1" showInputMessage="1" showErrorMessage="1" sqref="B93:D98" xr:uid="{00000000-0002-0000-0500-000013000000}">
      <formula1>0</formula1>
      <formula2>99</formula2>
    </dataValidation>
  </dataValidations>
  <pageMargins left="0.70866141732283472" right="0.51181102362204722" top="0.35433070866141736" bottom="0.35433070866141736" header="0.31496062992125984" footer="0.31496062992125984"/>
  <pageSetup paperSize="9" scale="80" orientation="portrait" r:id="rId1"/>
  <headerFooter>
    <oddFooter>&amp;RS. &amp;P /&amp;N</oddFooter>
  </headerFooter>
  <rowBreaks count="5" manualBreakCount="5">
    <brk id="40" max="16383" man="1"/>
    <brk id="75" max="16383" man="1"/>
    <brk id="106" max="16383" man="1"/>
    <brk id="139" max="16383" man="1"/>
    <brk id="161"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14000000}">
          <x14:formula1>
            <xm:f>Liste!$F$2:$F$3</xm:f>
          </x14:formula1>
          <xm:sqref>A1:A2</xm:sqref>
        </x14:dataValidation>
        <x14:dataValidation type="list" allowBlank="1" showInputMessage="1" showErrorMessage="1" xr:uid="{00000000-0002-0000-0500-000015000000}">
          <x14:formula1>
            <xm:f>Liste!$A$2:$A$27</xm:f>
          </x14:formula1>
          <xm:sqref>B11</xm:sqref>
        </x14:dataValidation>
        <x14:dataValidation type="list" allowBlank="1" showInputMessage="1" showErrorMessage="1" xr:uid="{00000000-0002-0000-0500-000016000000}">
          <x14:formula1>
            <xm:f>Liste!$H$2</xm:f>
          </x14:formula1>
          <xm:sqref>B33:B38 B18:B20</xm:sqref>
        </x14:dataValidation>
        <x14:dataValidation type="list" allowBlank="1" showInputMessage="1" showErrorMessage="1" xr:uid="{00000000-0002-0000-0500-000017000000}">
          <x14:formula1>
            <xm:f>Liste!$G$2:$G$3</xm:f>
          </x14:formula1>
          <xm:sqref>B26 B112 B80 B86 B119</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tt4">
    <tabColor theme="3" tint="0.59999389629810485"/>
    <pageSetUpPr fitToPage="1"/>
  </sheetPr>
  <dimension ref="A1:V282"/>
  <sheetViews>
    <sheetView zoomScale="141" workbookViewId="0">
      <pane xSplit="3" ySplit="8" topLeftCell="D9" activePane="bottomRight" state="frozenSplit"/>
      <selection activeCell="AM140" sqref="AM140"/>
      <selection pane="topRight" activeCell="AM140" sqref="AM140"/>
      <selection pane="bottomLeft" activeCell="AM140" sqref="AM140"/>
      <selection pane="bottomRight" activeCell="A4" sqref="A4:B4"/>
    </sheetView>
  </sheetViews>
  <sheetFormatPr baseColWidth="10" defaultColWidth="10.83203125" defaultRowHeight="16"/>
  <cols>
    <col min="1" max="1" width="11.1640625" style="18" customWidth="1"/>
    <col min="2" max="2" width="12.5" style="18" customWidth="1"/>
    <col min="3" max="3" width="7.5" style="19" customWidth="1"/>
    <col min="4" max="4" width="72" style="18" customWidth="1"/>
    <col min="5" max="5" width="22.5" style="20" customWidth="1"/>
    <col min="6" max="6" width="50.6640625" style="21" customWidth="1"/>
    <col min="7" max="9" width="7.6640625" style="18" customWidth="1"/>
    <col min="10" max="10" width="2.33203125" style="2041" customWidth="1"/>
    <col min="11" max="11" width="2.33203125" customWidth="1"/>
    <col min="12" max="13" width="10.83203125" style="18" hidden="1" customWidth="1"/>
    <col min="14" max="14" width="60.5" style="221" hidden="1" customWidth="1"/>
    <col min="15" max="15" width="60.5" style="323" hidden="1" customWidth="1"/>
    <col min="16" max="16" width="41.6640625" style="412" hidden="1" customWidth="1"/>
    <col min="17" max="17" width="36.83203125" style="221" hidden="1" customWidth="1"/>
    <col min="18" max="18" width="36.83203125" style="323" hidden="1" customWidth="1"/>
    <col min="19" max="19" width="20" style="412" hidden="1" customWidth="1"/>
    <col min="20" max="20" width="10.83203125" style="18" hidden="1" customWidth="1"/>
    <col min="21" max="21" width="2.33203125" customWidth="1"/>
    <col min="22" max="22" width="2.33203125" style="2041" customWidth="1"/>
    <col min="23" max="16384" width="10.83203125" style="18"/>
  </cols>
  <sheetData>
    <row r="1" spans="1:22" s="178" customFormat="1" ht="22.5" customHeight="1" thickBot="1">
      <c r="A1" s="573" t="str">
        <f>'1 ANTRAG-DEMANDE'!A1</f>
        <v>D</v>
      </c>
      <c r="B1" s="1170" t="str">
        <f>S2</f>
        <v>Pour la version française, aller dans l'onglet "ANTRAG-DEMANDE" et choisir "F"</v>
      </c>
      <c r="C1" s="309"/>
      <c r="E1" s="310"/>
      <c r="F1" s="59"/>
      <c r="J1" s="2041"/>
      <c r="K1" s="2201" t="s">
        <v>1340</v>
      </c>
      <c r="N1" s="388" t="s">
        <v>761</v>
      </c>
      <c r="O1" s="389" t="s">
        <v>762</v>
      </c>
      <c r="P1" s="390" t="s">
        <v>773</v>
      </c>
      <c r="Q1" s="388" t="s">
        <v>763</v>
      </c>
      <c r="R1" s="389" t="s">
        <v>764</v>
      </c>
      <c r="S1" s="390" t="s">
        <v>772</v>
      </c>
      <c r="U1" s="2201" t="s">
        <v>1340</v>
      </c>
      <c r="V1" s="2041"/>
    </row>
    <row r="2" spans="1:22" ht="25.5" customHeight="1">
      <c r="A2" s="2390" t="str">
        <f>P2</f>
        <v>SELBSTDEKLARATION</v>
      </c>
      <c r="B2" s="2391"/>
      <c r="C2" s="2391"/>
      <c r="D2" s="1045" t="str">
        <f>P6</f>
        <v>Die Stationsleitung wird gebeten, alle blauen Felder (Spalte A, B) auszufüllen, und wenn erwünscht Bemerkungen (Spalte F) zu machen.</v>
      </c>
      <c r="E2" s="1045"/>
      <c r="F2" s="1045"/>
      <c r="K2" s="2201"/>
      <c r="N2" s="221" t="s">
        <v>895</v>
      </c>
      <c r="O2" s="323" t="s">
        <v>896</v>
      </c>
      <c r="P2" s="412" t="str">
        <f t="shared" ref="P2:P20" si="0">IF(N2=0,"",IF($A$1="D",N2,O2))</f>
        <v>SELBSTDEKLARATION</v>
      </c>
      <c r="Q2" s="308" t="s">
        <v>759</v>
      </c>
      <c r="R2" s="325" t="s">
        <v>760</v>
      </c>
      <c r="S2" s="383" t="str">
        <f>IF(Q2=0,"",IF('1 ANTRAG-DEMANDE'!$A$1="D",Q2,R2))</f>
        <v>Pour la version française, aller dans l'onglet "ANTRAG-DEMANDE" et choisir "F"</v>
      </c>
      <c r="U2" s="2201"/>
    </row>
    <row r="3" spans="1:22" ht="13.5" customHeight="1">
      <c r="A3" s="1179" t="str">
        <f>P10</f>
        <v>Datum (dd.mm.yy):</v>
      </c>
      <c r="B3" s="1180"/>
      <c r="C3" s="1154"/>
      <c r="D3" s="1160" t="str">
        <f>P4</f>
        <v>Die auszufüllenden Felder können der Reihe nach per TABULATOR (= nach rechts) oder ENTER ( nach unten) ausgesucht werden.</v>
      </c>
      <c r="E3" s="1045"/>
      <c r="F3" s="2403" t="str">
        <f>P11</f>
        <v>Für Zeilensprung innerhalb einer Zelle (Textfelder): ALT+ENTER</v>
      </c>
      <c r="K3" s="2201"/>
      <c r="Q3" s="308"/>
      <c r="R3" s="325"/>
      <c r="S3" s="383"/>
      <c r="U3" s="2201"/>
    </row>
    <row r="4" spans="1:22" ht="18" customHeight="1">
      <c r="A4" s="2398"/>
      <c r="B4" s="2399"/>
      <c r="C4" s="1163" t="s">
        <v>887</v>
      </c>
      <c r="D4" s="1161" t="str">
        <f>P9</f>
        <v>Zum Anfang, bitte im blauen Feld links das Datum eingeben, dann per TABULATOR weiter.</v>
      </c>
      <c r="E4" s="1046"/>
      <c r="F4" s="2403"/>
      <c r="J4" s="2042"/>
      <c r="K4" s="2201"/>
      <c r="N4" s="410" t="str">
        <f>'1 ANTRAG-DEMANDE'!AG4</f>
        <v>Die auszufüllenden Felder können der Reihe nach per TABULATOR (= nach rechts) oder ENTER ( nach unten) ausgesucht werden.</v>
      </c>
      <c r="O4" s="413" t="str">
        <f>'1 ANTRAG-DEMANDE'!AH4</f>
        <v xml:space="preserve">Les champs peuvent être choisis dans l'ordre avec TABULATION (= d'abord vers la droite) ou ENTER (d'abord vers le bas). </v>
      </c>
      <c r="P4" s="412" t="str">
        <f t="shared" si="0"/>
        <v>Die auszufüllenden Felder können der Reihe nach per TABULATOR (= nach rechts) oder ENTER ( nach unten) ausgesucht werden.</v>
      </c>
      <c r="Q4" s="410"/>
      <c r="R4" s="411"/>
      <c r="U4" s="2201"/>
      <c r="V4" s="2042"/>
    </row>
    <row r="5" spans="1:22" ht="38" customHeight="1">
      <c r="A5" s="1415"/>
      <c r="B5" s="1416"/>
      <c r="C5" s="1414"/>
      <c r="D5" s="1417" t="str">
        <f>P5</f>
        <v>Am Ende bitte als pdf speichern (Dateiname s. Blatt PROZEDUR) und zur Unterschrift ausgedrucken.</v>
      </c>
      <c r="E5" s="2400" t="str">
        <f>S5</f>
        <v>Ausdruck auf pdf: Insgesamt 5-6 Seiten. Falls Probleme im Format bitte korrigieren:  Seitenorientierung "Portrait", Skalierung "Alle Spalten auf eine Seite"</v>
      </c>
      <c r="F5" s="2400"/>
      <c r="J5" s="2042"/>
      <c r="N5" s="221" t="s">
        <v>2208</v>
      </c>
      <c r="O5" s="323" t="s">
        <v>2209</v>
      </c>
      <c r="P5" s="412" t="str">
        <f t="shared" si="0"/>
        <v>Am Ende bitte als pdf speichern (Dateiname s. Blatt PROZEDUR) und zur Unterschrift ausgedrucken.</v>
      </c>
      <c r="Q5" s="308" t="s">
        <v>2053</v>
      </c>
      <c r="R5" s="325" t="s">
        <v>2054</v>
      </c>
      <c r="S5" s="412" t="str">
        <f t="shared" ref="S5:S7" si="1">IF(Q5=0,"",IF($A$1="D",Q5,R5))</f>
        <v>Ausdruck auf pdf: Insgesamt 5-6 Seiten. Falls Probleme im Format bitte korrigieren:  Seitenorientierung "Portrait", Skalierung "Alle Spalten auf eine Seite"</v>
      </c>
      <c r="V5" s="2042"/>
    </row>
    <row r="6" spans="1:22" s="23" customFormat="1" ht="46" customHeight="1">
      <c r="A6" s="1042" t="str">
        <f>A18</f>
        <v>Muss Kriterium</v>
      </c>
      <c r="B6" s="170" t="str">
        <f>B18</f>
        <v>Kann Kriterium</v>
      </c>
      <c r="C6" s="171"/>
      <c r="D6" s="2" t="str">
        <f>S13</f>
        <v/>
      </c>
      <c r="E6" s="2" t="str">
        <f>S14</f>
        <v>Dokumentation via</v>
      </c>
      <c r="F6" s="2" t="str">
        <f>S15</f>
        <v>Bemerkungen - Selbstdeklaration</v>
      </c>
      <c r="J6" s="2043"/>
      <c r="K6" s="510"/>
      <c r="N6" s="221" t="s">
        <v>1359</v>
      </c>
      <c r="O6" s="323" t="s">
        <v>1360</v>
      </c>
      <c r="P6" s="412" t="str">
        <f t="shared" si="0"/>
        <v>Die Stationsleitung wird gebeten, alle blauen Felder (Spalte A, B) auszufüllen, und wenn erwünscht Bemerkungen (Spalte F) zu machen.</v>
      </c>
      <c r="Q6" s="410"/>
      <c r="R6" s="413"/>
      <c r="S6" s="412" t="str">
        <f t="shared" si="1"/>
        <v/>
      </c>
      <c r="U6" s="510"/>
      <c r="V6" s="2043"/>
    </row>
    <row r="7" spans="1:22" ht="31.5" customHeight="1">
      <c r="A7" s="158" t="str">
        <f>A19</f>
        <v>0= nicht erfüllt
1= erfüllt</v>
      </c>
      <c r="B7" s="158" t="str">
        <f>B19</f>
        <v>0= nicht erfüllt
1= teilweise erfüllt
2= vollständig erfüllt</v>
      </c>
      <c r="C7" s="18"/>
      <c r="D7" s="190" t="str">
        <f>IF(SUM(A242:B242)=0,P7,P8)</f>
        <v>Datensatz inkomplett! Anzahl noch auszufüllender Kriterien:</v>
      </c>
      <c r="E7" s="191" t="str">
        <f>IF(SUM(A242:B242)=0,"",S16&amp;": "&amp;A242)</f>
        <v>Muss: 108</v>
      </c>
      <c r="F7" s="192" t="str">
        <f>IF(SUM(A242:B242)=0,"",S17&amp;": "&amp;B242)</f>
        <v>Kann: 35</v>
      </c>
      <c r="J7" s="2042"/>
      <c r="N7" s="221" t="s">
        <v>746</v>
      </c>
      <c r="O7" s="323" t="s">
        <v>747</v>
      </c>
      <c r="P7" s="412" t="str">
        <f>IF(N7=0,"",IF($A$1="D",N7,O7))</f>
        <v>Datensatz komplett, Sie können die Selbstdeklaration speichern und ausdrucken.</v>
      </c>
      <c r="Q7" s="410"/>
      <c r="R7" s="413"/>
      <c r="S7" s="412" t="str">
        <f t="shared" si="1"/>
        <v/>
      </c>
      <c r="V7" s="2042"/>
    </row>
    <row r="8" spans="1:22" s="175" customFormat="1" ht="15" customHeight="1" thickBot="1">
      <c r="A8" s="172">
        <f>A235</f>
        <v>0</v>
      </c>
      <c r="B8" s="173">
        <f>B235</f>
        <v>0</v>
      </c>
      <c r="C8" s="2395" t="str">
        <f>S8</f>
        <v xml:space="preserve">  = Erreicht von max. Punktzahl</v>
      </c>
      <c r="D8" s="2395"/>
      <c r="E8" s="174"/>
      <c r="F8" s="174"/>
      <c r="J8" s="2042"/>
      <c r="K8" s="799"/>
      <c r="N8" s="221" t="s">
        <v>744</v>
      </c>
      <c r="O8" s="323" t="s">
        <v>745</v>
      </c>
      <c r="P8" s="412" t="str">
        <f>IF(N8=0,"",IF($A$1="D",N8,O8))</f>
        <v>Datensatz inkomplett! Anzahl noch auszufüllender Kriterien:</v>
      </c>
      <c r="Q8" s="410" t="str">
        <f>'4b Visitation'!AD16</f>
        <v xml:space="preserve">  = Erreicht von max. Punktzahl</v>
      </c>
      <c r="R8" s="411" t="str">
        <f>'4b Visitation'!AE16</f>
        <v xml:space="preserve">  = Proportion atteinte du maximum</v>
      </c>
      <c r="S8" s="412" t="str">
        <f>IF(Q8=0,"",IF($A$1="D",Q8,R8))</f>
        <v xml:space="preserve">  = Erreicht von max. Punktzahl</v>
      </c>
      <c r="U8" s="799"/>
      <c r="V8" s="2042"/>
    </row>
    <row r="9" spans="1:22" ht="15" customHeight="1">
      <c r="J9" s="2042"/>
      <c r="K9" s="799"/>
      <c r="N9" s="221" t="s">
        <v>1475</v>
      </c>
      <c r="O9" s="323" t="s">
        <v>1476</v>
      </c>
      <c r="P9" s="412" t="str">
        <f t="shared" ref="P9:P15" si="2">IF(N9=0,"",IF($A$1="D",N9,O9))</f>
        <v>Zum Anfang, bitte im blauen Feld links das Datum eingeben, dann per TABULATOR weiter.</v>
      </c>
      <c r="Q9" s="410"/>
      <c r="R9" s="413"/>
      <c r="U9" s="799"/>
      <c r="V9" s="2042"/>
    </row>
    <row r="10" spans="1:22" s="20" customFormat="1" ht="15" customHeight="1">
      <c r="A10" s="2392"/>
      <c r="B10" s="2319"/>
      <c r="E10" s="153"/>
      <c r="J10" s="2042"/>
      <c r="K10" s="799"/>
      <c r="N10" s="221" t="s">
        <v>1473</v>
      </c>
      <c r="O10" s="323" t="s">
        <v>1474</v>
      </c>
      <c r="P10" s="412" t="str">
        <f>IF(N10=0,"",IF($A$1="D",N10,O10))</f>
        <v>Datum (dd.mm.yy):</v>
      </c>
      <c r="Q10" s="430"/>
      <c r="R10" s="431"/>
      <c r="S10" s="412" t="str">
        <f>IF(Q10=0,"",IF($A$1="D",Q10,R10))</f>
        <v/>
      </c>
      <c r="U10" s="799"/>
      <c r="V10" s="2042"/>
    </row>
    <row r="11" spans="1:22" s="20" customFormat="1" ht="15" customHeight="1">
      <c r="D11" s="1109"/>
      <c r="E11" s="153"/>
      <c r="J11" s="2042"/>
      <c r="K11" s="799"/>
      <c r="N11" s="221" t="s">
        <v>1456</v>
      </c>
      <c r="O11" s="323" t="s">
        <v>1457</v>
      </c>
      <c r="P11" s="412" t="str">
        <f>IF(N11=0,"",IF($A$1="D",N11,O11))</f>
        <v>Für Zeilensprung innerhalb einer Zelle (Textfelder): ALT+ENTER</v>
      </c>
      <c r="Q11" s="430"/>
      <c r="R11" s="431"/>
      <c r="S11" s="412"/>
      <c r="U11" s="799"/>
      <c r="V11" s="2042"/>
    </row>
    <row r="12" spans="1:22" s="20" customFormat="1" ht="15" customHeight="1">
      <c r="A12" s="507"/>
      <c r="B12" s="508"/>
      <c r="C12" s="504"/>
      <c r="D12" s="504"/>
      <c r="E12" s="153"/>
      <c r="J12" s="2042"/>
      <c r="K12" s="799"/>
      <c r="N12" s="221"/>
      <c r="O12" s="323"/>
      <c r="P12" s="412" t="str">
        <f t="shared" ref="P12" si="3">IF(N12=0,"",IF($A$1="D",N12,O12))</f>
        <v/>
      </c>
      <c r="Q12" s="430"/>
      <c r="R12" s="431"/>
      <c r="S12" s="412" t="str">
        <f>IF(Q12=0,"",IF($A$1="D",Q12,R12))</f>
        <v/>
      </c>
      <c r="U12" s="799"/>
      <c r="V12" s="2042"/>
    </row>
    <row r="13" spans="1:22" ht="90.75" customHeight="1">
      <c r="J13" s="2044"/>
      <c r="K13" s="799"/>
      <c r="P13" s="412" t="str">
        <f t="shared" si="2"/>
        <v/>
      </c>
      <c r="Q13" s="410"/>
      <c r="R13" s="413" t="str">
        <f>Kriterien!S21</f>
        <v>Description</v>
      </c>
      <c r="S13" s="412" t="str">
        <f t="shared" ref="S13:S22" si="4">IF(Q13=0,"",IF($A$1="D",Q13,R13))</f>
        <v/>
      </c>
      <c r="U13" s="799"/>
      <c r="V13" s="2044"/>
    </row>
    <row r="14" spans="1:22" s="20" customFormat="1" ht="27" customHeight="1">
      <c r="A14" s="155"/>
      <c r="B14" s="155"/>
      <c r="C14" s="157"/>
      <c r="D14" s="2389" t="str">
        <f>P14</f>
        <v>Anhang VII zu den Richtlinien für die Zertifizierung von IS durch die SGI</v>
      </c>
      <c r="E14" s="2389"/>
      <c r="J14" s="2042"/>
      <c r="K14" s="799"/>
      <c r="N14" s="221" t="s">
        <v>678</v>
      </c>
      <c r="O14" s="323" t="s">
        <v>679</v>
      </c>
      <c r="P14" s="412" t="str">
        <f t="shared" si="2"/>
        <v>Anhang VII zu den Richtlinien für die Zertifizierung von IS durch die SGI</v>
      </c>
      <c r="Q14" s="414" t="str">
        <f>Kriterien!U21</f>
        <v>Dokumentation via</v>
      </c>
      <c r="R14" s="413" t="str">
        <f>Kriterien!V21</f>
        <v>Documentation via</v>
      </c>
      <c r="S14" s="412" t="str">
        <f t="shared" si="4"/>
        <v>Dokumentation via</v>
      </c>
      <c r="U14" s="799"/>
      <c r="V14" s="2042"/>
    </row>
    <row r="15" spans="1:22" s="183" customFormat="1" ht="27" customHeight="1">
      <c r="A15" s="181"/>
      <c r="B15" s="181"/>
      <c r="C15" s="182"/>
      <c r="D15" s="2394" t="str">
        <f>P17</f>
        <v>Selbstdeklaration</v>
      </c>
      <c r="E15" s="2394"/>
      <c r="J15" s="2044"/>
      <c r="K15"/>
      <c r="N15" s="420" t="s">
        <v>681</v>
      </c>
      <c r="O15" s="421" t="s">
        <v>680</v>
      </c>
      <c r="P15" s="412" t="str">
        <f t="shared" si="2"/>
        <v xml:space="preserve">Selbstdeklaration vom </v>
      </c>
      <c r="Q15" s="414" t="str">
        <f>'4b Visitation'!AA103</f>
        <v>Bemerkungen - Selbstdeklaration</v>
      </c>
      <c r="R15" s="775" t="str">
        <f>'4b Visitation'!AB103</f>
        <v>Remarques - Autodéclaration</v>
      </c>
      <c r="S15" s="412" t="str">
        <f t="shared" si="4"/>
        <v>Bemerkungen - Selbstdeklaration</v>
      </c>
      <c r="U15"/>
      <c r="V15" s="2044"/>
    </row>
    <row r="16" spans="1:22" ht="44.25" customHeight="1">
      <c r="A16" s="59"/>
      <c r="B16" s="59"/>
      <c r="E16" s="2401" t="str">
        <f>C257&amp;", 
"&amp;C258&amp;", "&amp;C259&amp;"
"&amp;P15&amp;DAY(A4)&amp;"."&amp;MONTH(A4)&amp;"."&amp;YEAR(A4)</f>
        <v>0, 
0, 0
Selbstdeklaration vom 0.1.1900</v>
      </c>
      <c r="F16" s="2401"/>
      <c r="J16" s="2044"/>
      <c r="K16" s="799"/>
      <c r="Q16" s="410" t="str">
        <f>'4b Visitation'!AD10</f>
        <v>Muss</v>
      </c>
      <c r="R16" s="411" t="str">
        <f>'4b Visitation'!AE10</f>
        <v>Obligatoire</v>
      </c>
      <c r="S16" s="412" t="str">
        <f t="shared" si="4"/>
        <v>Muss</v>
      </c>
      <c r="U16" s="799"/>
      <c r="V16" s="2044"/>
    </row>
    <row r="17" spans="1:22" ht="22.5" customHeight="1">
      <c r="A17" s="59"/>
      <c r="B17" s="59"/>
      <c r="D17" s="154"/>
      <c r="E17" s="154"/>
      <c r="F17" s="154"/>
      <c r="J17" s="2044"/>
      <c r="K17" s="799"/>
      <c r="N17" s="410" t="str">
        <f>'4b Visitation'!AA4</f>
        <v>Selbstdeklaration</v>
      </c>
      <c r="O17" s="413" t="str">
        <f>'4b Visitation'!AB4</f>
        <v>Autodéclaration</v>
      </c>
      <c r="P17" s="412" t="str">
        <f>IF(N17=0,"",IF($A$1="D",N17,O17))</f>
        <v>Selbstdeklaration</v>
      </c>
      <c r="Q17" s="410" t="str">
        <f>'4b Visitation'!AD15</f>
        <v>Kann</v>
      </c>
      <c r="R17" s="411" t="str">
        <f>'4b Visitation'!AE15</f>
        <v>Souhaitable</v>
      </c>
      <c r="S17" s="412" t="str">
        <f t="shared" si="4"/>
        <v>Kann</v>
      </c>
      <c r="U17" s="799"/>
      <c r="V17" s="2044"/>
    </row>
    <row r="18" spans="1:22" s="23" customFormat="1" ht="33.75" customHeight="1">
      <c r="A18" s="22" t="str">
        <f>P18</f>
        <v>Muss Kriterium</v>
      </c>
      <c r="B18" s="61" t="str">
        <f>S18</f>
        <v>Kann Kriterium</v>
      </c>
      <c r="C18" s="1"/>
      <c r="D18" s="2" t="str">
        <f>D6</f>
        <v/>
      </c>
      <c r="E18" s="2" t="str">
        <f>E6</f>
        <v>Dokumentation via</v>
      </c>
      <c r="F18" s="2" t="str">
        <f>F6</f>
        <v>Bemerkungen - Selbstdeklaration</v>
      </c>
      <c r="J18" s="2044"/>
      <c r="K18" s="799"/>
      <c r="N18" s="410" t="str">
        <f>Kriterien!R3</f>
        <v>Muss Kriterium</v>
      </c>
      <c r="O18" s="413" t="str">
        <f>Kriterien!S3</f>
        <v>Critère obligatoire</v>
      </c>
      <c r="P18" s="412" t="str">
        <f t="shared" si="0"/>
        <v>Muss Kriterium</v>
      </c>
      <c r="Q18" s="410" t="str">
        <f>Kriterien!U3</f>
        <v>Kann Kriterium</v>
      </c>
      <c r="R18" s="413" t="str">
        <f>Kriterien!V3</f>
        <v>Critère souhaitable</v>
      </c>
      <c r="S18" s="412" t="str">
        <f t="shared" si="4"/>
        <v>Kann Kriterium</v>
      </c>
      <c r="U18" s="799"/>
      <c r="V18" s="2044"/>
    </row>
    <row r="19" spans="1:22" ht="36">
      <c r="A19" s="524" t="str">
        <f>P19</f>
        <v>0= nicht erfüllt
1= erfüllt</v>
      </c>
      <c r="B19" s="158" t="str">
        <f>S19</f>
        <v>0= nicht erfüllt
1= teilweise erfüllt
2= vollständig erfüllt</v>
      </c>
      <c r="D19" s="525"/>
      <c r="E19" s="525"/>
      <c r="F19" s="298"/>
      <c r="J19" s="2044"/>
      <c r="K19" s="799"/>
      <c r="N19" s="410" t="str">
        <f>Kriterien!R4</f>
        <v>0= nicht erfüllt
1= erfüllt</v>
      </c>
      <c r="O19" s="413" t="str">
        <f>Kriterien!S4</f>
        <v>0= non rempli
1= rempli</v>
      </c>
      <c r="P19" s="412" t="str">
        <f t="shared" si="0"/>
        <v>0= nicht erfüllt
1= erfüllt</v>
      </c>
      <c r="Q19" s="410" t="str">
        <f>Kriterien!U4</f>
        <v>0= nicht erfüllt
1= teilweise erfüllt
2= vollständig erfüllt</v>
      </c>
      <c r="R19" s="413" t="str">
        <f>Kriterien!V4</f>
        <v>0= non rempli
1= partiellement rempli
2= totalement rempli</v>
      </c>
      <c r="S19" s="412" t="str">
        <f t="shared" si="4"/>
        <v>0= nicht erfüllt
1= teilweise erfüllt
2= vollständig erfüllt</v>
      </c>
      <c r="U19" s="799"/>
      <c r="V19" s="2044"/>
    </row>
    <row r="20" spans="1:22" s="25" customFormat="1" ht="18">
      <c r="A20" s="432"/>
      <c r="B20" s="432"/>
      <c r="C20" s="39">
        <v>1</v>
      </c>
      <c r="D20" s="3" t="str">
        <f>P20</f>
        <v>Merkmale einer IS und Kennzahlen</v>
      </c>
      <c r="E20" s="3" t="str">
        <f>S20</f>
        <v/>
      </c>
      <c r="F20" s="62"/>
      <c r="J20" s="2045"/>
      <c r="K20" s="799"/>
      <c r="N20" s="415" t="str">
        <f>Kriterien!R23</f>
        <v>Merkmale einer IS und Kennzahlen</v>
      </c>
      <c r="O20" s="428" t="str">
        <f>Kriterien!S23</f>
        <v>Caractéristiques d'une USI et indicateurs chiffrés</v>
      </c>
      <c r="P20" s="412" t="str">
        <f t="shared" si="0"/>
        <v>Merkmale einer IS und Kennzahlen</v>
      </c>
      <c r="Q20" s="410">
        <f>Kriterien!U23</f>
        <v>0</v>
      </c>
      <c r="R20" s="411">
        <f>Kriterien!V23</f>
        <v>0</v>
      </c>
      <c r="S20" s="412" t="str">
        <f t="shared" si="4"/>
        <v/>
      </c>
      <c r="U20" s="799"/>
      <c r="V20" s="2045"/>
    </row>
    <row r="21" spans="1:22" s="27" customFormat="1" ht="18">
      <c r="A21" s="526"/>
      <c r="B21" s="433"/>
      <c r="C21" s="40">
        <v>1.1000000000000001</v>
      </c>
      <c r="D21" s="4" t="str">
        <f t="shared" ref="D21:D36" si="5">P21</f>
        <v>Allgemeine Organisation</v>
      </c>
      <c r="E21" s="26" t="str">
        <f t="shared" ref="E21:E36" si="6">S21</f>
        <v/>
      </c>
      <c r="F21" s="1151"/>
      <c r="J21" s="2045"/>
      <c r="K21" s="799"/>
      <c r="N21" s="410" t="str">
        <f>Kriterien!R24</f>
        <v>Allgemeine Organisation</v>
      </c>
      <c r="O21" s="411" t="str">
        <f>Kriterien!S24</f>
        <v>Organisation générale</v>
      </c>
      <c r="P21" s="412" t="str">
        <f t="shared" ref="P21:P85" si="7">IF(N21=0,"",IF($A$1="D",N21,O21))</f>
        <v>Allgemeine Organisation</v>
      </c>
      <c r="Q21" s="410">
        <f>Kriterien!U24</f>
        <v>0</v>
      </c>
      <c r="R21" s="411">
        <f>Kriterien!V24</f>
        <v>0</v>
      </c>
      <c r="S21" s="412" t="str">
        <f t="shared" si="4"/>
        <v/>
      </c>
      <c r="U21" s="799"/>
      <c r="V21" s="2045"/>
    </row>
    <row r="22" spans="1:22" s="21" customFormat="1" ht="28">
      <c r="A22" s="527"/>
      <c r="B22" s="433"/>
      <c r="C22" s="46" t="s">
        <v>166</v>
      </c>
      <c r="D22" s="115" t="str">
        <f t="shared" si="5"/>
        <v>Ein internes Organisationsreglement regelt den Arbeitsablauf des ärztlichen Personals und des Pflegepersonals</v>
      </c>
      <c r="E22" s="6" t="str">
        <f t="shared" si="6"/>
        <v>Dokument</v>
      </c>
      <c r="F22" s="162"/>
      <c r="J22" s="2046"/>
      <c r="K22" s="799"/>
      <c r="N22" s="410" t="str">
        <f>Kriterien!R25</f>
        <v>Ein internes Organisationsreglement regelt den Arbeitsablauf des ärztlichen Personals und des Pflegepersonals</v>
      </c>
      <c r="O22" s="413" t="str">
        <f>Kriterien!S25</f>
        <v>Un règlement d'organisation interne définit les modalités de fonctionnement du personnel médico-soignant.</v>
      </c>
      <c r="P22" s="412" t="str">
        <f t="shared" si="7"/>
        <v>Ein internes Organisationsreglement regelt den Arbeitsablauf des ärztlichen Personals und des Pflegepersonals</v>
      </c>
      <c r="Q22" s="415" t="str">
        <f>Kriterien!U25</f>
        <v>Dokument</v>
      </c>
      <c r="R22" s="416" t="str">
        <f>Kriterien!V25</f>
        <v>Document</v>
      </c>
      <c r="S22" s="412" t="str">
        <f t="shared" si="4"/>
        <v>Dokument</v>
      </c>
      <c r="U22" s="799"/>
      <c r="V22" s="2046"/>
    </row>
    <row r="23" spans="1:22" s="21" customFormat="1" ht="36">
      <c r="A23" s="527"/>
      <c r="B23" s="433"/>
      <c r="C23" s="46" t="s">
        <v>167</v>
      </c>
      <c r="D23" s="5" t="str">
        <f t="shared" si="5"/>
        <v xml:space="preserve">Bei Eintritt und bei Austritt wird bei jedem Patienten ein Übergaberapport auf ärztlicher und auf pflegerischer Ebene durchgeführt. </v>
      </c>
      <c r="E23" s="10" t="str">
        <f t="shared" si="6"/>
        <v>Visitation</v>
      </c>
      <c r="F23" s="162"/>
      <c r="J23" s="2044"/>
      <c r="K23" s="799"/>
      <c r="N23" s="410" t="str">
        <f>Kriterien!R26</f>
        <v xml:space="preserve">Bei Eintritt und bei Austritt wird bei jedem Patienten ein Übergaberapport auf ärztlicher und auf pflegerischer Ebene durchgeführt. </v>
      </c>
      <c r="O23" s="413" t="str">
        <f>Kriterien!S26</f>
        <v xml:space="preserve">Que ce soit à son admission ou à sa sortie de l'USI, chaque patient fait l'objet d'un rapport de transfert médical et infirmier. </v>
      </c>
      <c r="P23" s="412" t="str">
        <f t="shared" si="7"/>
        <v xml:space="preserve">Bei Eintritt und bei Austritt wird bei jedem Patienten ein Übergaberapport auf ärztlicher und auf pflegerischer Ebene durchgeführt. </v>
      </c>
      <c r="Q23" s="415" t="str">
        <f>Kriterien!U26</f>
        <v>Visitation</v>
      </c>
      <c r="R23" s="416" t="str">
        <f>Kriterien!V26</f>
        <v>Visite</v>
      </c>
      <c r="S23" s="412" t="str">
        <f t="shared" ref="S23:S87" si="8">IF(Q23=0,"",IF($A$1="D",Q23,R23))</f>
        <v>Visitation</v>
      </c>
      <c r="U23" s="799"/>
      <c r="V23" s="2044"/>
    </row>
    <row r="24" spans="1:22" s="21" customFormat="1" ht="28">
      <c r="A24" s="527"/>
      <c r="B24" s="433"/>
      <c r="C24" s="46" t="s">
        <v>168</v>
      </c>
      <c r="D24" s="5" t="str">
        <f t="shared" si="5"/>
        <v>Alle Unterlagen müssen entweder elektronisch oder als physikalisch vorhandene Kopie verfügbar sein.</v>
      </c>
      <c r="E24" s="28" t="str">
        <f t="shared" si="6"/>
        <v/>
      </c>
      <c r="F24" s="162"/>
      <c r="J24" s="2044"/>
      <c r="K24" s="799"/>
      <c r="N24" s="410" t="str">
        <f>Kriterien!R27</f>
        <v>Alle Unterlagen müssen entweder elektronisch oder als physikalisch vorhandene Kopie verfügbar sein.</v>
      </c>
      <c r="O24" s="413" t="str">
        <f>Kriterien!S27</f>
        <v>Tous les documents du dossier doivent être disponibles soit sous forme éléctonique, soit sous forme d'un dossier physique.</v>
      </c>
      <c r="P24" s="412" t="str">
        <f t="shared" si="7"/>
        <v>Alle Unterlagen müssen entweder elektronisch oder als physikalisch vorhandene Kopie verfügbar sein.</v>
      </c>
      <c r="Q24" s="415">
        <f>Kriterien!U27</f>
        <v>0</v>
      </c>
      <c r="R24" s="416">
        <f>Kriterien!V27</f>
        <v>0</v>
      </c>
      <c r="S24" s="412" t="str">
        <f t="shared" si="8"/>
        <v/>
      </c>
      <c r="U24" s="799"/>
      <c r="V24" s="2044"/>
    </row>
    <row r="25" spans="1:22" s="21" customFormat="1" ht="28">
      <c r="A25" s="527"/>
      <c r="B25" s="433"/>
      <c r="C25" s="46" t="s">
        <v>169</v>
      </c>
      <c r="D25" s="5" t="str">
        <f t="shared" si="5"/>
        <v xml:space="preserve">Alle Unterlagen bleiben bei internen Verlegungen beim Patienten und/oder sind für die Nachbetreuenden verfügbar.  </v>
      </c>
      <c r="E25" s="10" t="str">
        <f t="shared" si="6"/>
        <v>Visitation</v>
      </c>
      <c r="F25" s="162"/>
      <c r="J25" s="2041"/>
      <c r="K25"/>
      <c r="N25" s="410" t="str">
        <f>Kriterien!R28</f>
        <v xml:space="preserve">Alle Unterlagen bleiben bei internen Verlegungen beim Patienten und/oder sind für die Nachbetreuenden verfügbar.  </v>
      </c>
      <c r="O25" s="413" t="str">
        <f>Kriterien!S28</f>
        <v>Lors  des  transferts  internes,  l'intégralité  des  documents  restent  auprès  du patient et/ou sont disponibles pour les soignants en charge du suivi.</v>
      </c>
      <c r="P25" s="412" t="str">
        <f t="shared" si="7"/>
        <v xml:space="preserve">Alle Unterlagen bleiben bei internen Verlegungen beim Patienten und/oder sind für die Nachbetreuenden verfügbar.  </v>
      </c>
      <c r="Q25" s="415" t="str">
        <f>Kriterien!U28</f>
        <v>Visitation</v>
      </c>
      <c r="R25" s="416" t="str">
        <f>Kriterien!V28</f>
        <v>Visite</v>
      </c>
      <c r="S25" s="412" t="str">
        <f t="shared" si="8"/>
        <v>Visitation</v>
      </c>
      <c r="U25"/>
      <c r="V25" s="2041"/>
    </row>
    <row r="26" spans="1:22" s="21" customFormat="1" ht="18">
      <c r="A26" s="527"/>
      <c r="B26" s="433"/>
      <c r="C26" s="46" t="s">
        <v>170</v>
      </c>
      <c r="D26" s="5" t="str">
        <f t="shared" si="5"/>
        <v xml:space="preserve">Die Ärzte der IS führen für jeden Patienten eine Krankengeschichte. </v>
      </c>
      <c r="E26" s="28" t="str">
        <f t="shared" si="6"/>
        <v/>
      </c>
      <c r="F26" s="162"/>
      <c r="J26" s="2041"/>
      <c r="K26" s="799"/>
      <c r="N26" s="415" t="str">
        <f>Kriterien!R29</f>
        <v xml:space="preserve">Die Ärzte der IS führen für jeden Patienten eine Krankengeschichte. </v>
      </c>
      <c r="O26" s="428" t="str">
        <f>Kriterien!S29</f>
        <v>Les médecins de l'USI établissent un dossier médical pour chaque patient.</v>
      </c>
      <c r="P26" s="412" t="str">
        <f t="shared" si="7"/>
        <v xml:space="preserve">Die Ärzte der IS führen für jeden Patienten eine Krankengeschichte. </v>
      </c>
      <c r="Q26" s="415">
        <f>Kriterien!U29</f>
        <v>0</v>
      </c>
      <c r="R26" s="416">
        <f>Kriterien!V29</f>
        <v>0</v>
      </c>
      <c r="S26" s="412" t="str">
        <f t="shared" si="8"/>
        <v/>
      </c>
      <c r="U26" s="799"/>
      <c r="V26" s="2041"/>
    </row>
    <row r="27" spans="1:22" s="21" customFormat="1" ht="37">
      <c r="A27" s="527"/>
      <c r="B27" s="433"/>
      <c r="C27" s="46" t="s">
        <v>171</v>
      </c>
      <c r="D27" s="5" t="str">
        <f t="shared" si="5"/>
        <v xml:space="preserve">Bei Verlegungen von Patienten der IS in ein anderes Spital werden ein aktueller Bericht sowie Kopien aller relevanten Befunde und Dokumente mitgegeben. </v>
      </c>
      <c r="E27" s="10" t="str">
        <f t="shared" si="6"/>
        <v>Visitation, Dokument, Datei</v>
      </c>
      <c r="F27" s="162"/>
      <c r="J27" s="2041"/>
      <c r="K27" s="799"/>
      <c r="N27" s="415" t="str">
        <f>Kriterien!R30</f>
        <v xml:space="preserve">Bei Verlegungen von Patienten der IS in ein anderes Spital werden ein aktueller Bericht sowie Kopien aller relevanten Befunde und Dokumente mitgegeben. </v>
      </c>
      <c r="O27" s="428" t="str">
        <f>Kriterien!S30</f>
        <v xml:space="preserve">En cas de transfert de patients de l’USI vers un autre hôpital, un rapport actualisé ainsi que des copies de tous les résultats d'examen et documents importants sont transmis avec le patient. </v>
      </c>
      <c r="P27" s="412" t="str">
        <f t="shared" si="7"/>
        <v xml:space="preserve">Bei Verlegungen von Patienten der IS in ein anderes Spital werden ein aktueller Bericht sowie Kopien aller relevanten Befunde und Dokumente mitgegeben. </v>
      </c>
      <c r="Q27" s="415" t="str">
        <f>Kriterien!U30</f>
        <v>Visitation, Dokument, Datei</v>
      </c>
      <c r="R27" s="416" t="str">
        <f>Kriterien!V30</f>
        <v>Visite, Document, Fichier</v>
      </c>
      <c r="S27" s="412" t="str">
        <f t="shared" si="8"/>
        <v>Visitation, Dokument, Datei</v>
      </c>
      <c r="U27" s="799"/>
      <c r="V27" s="2041"/>
    </row>
    <row r="28" spans="1:22" s="21" customFormat="1" ht="25">
      <c r="A28" s="527"/>
      <c r="B28" s="433"/>
      <c r="C28" s="46" t="s">
        <v>172</v>
      </c>
      <c r="D28" s="115" t="str">
        <f t="shared" si="5"/>
        <v>Eine Kartei/Datei hält Reparaturdaten und technische Kontrollen aller Geräte fest.</v>
      </c>
      <c r="E28" s="10" t="str">
        <f t="shared" si="6"/>
        <v>Visitation, Dokument, Datei</v>
      </c>
      <c r="F28" s="162"/>
      <c r="J28" s="2041"/>
      <c r="K28" s="799"/>
      <c r="N28" s="415" t="str">
        <f>Kriterien!R31</f>
        <v>Eine Kartei/Datei hält Reparaturdaten und technische Kontrollen aller Geräte fest.</v>
      </c>
      <c r="O28" s="428" t="str">
        <f>Kriterien!S31</f>
        <v>Chaque  appareil  dispose  d'une  fiche/d'un  fichier  sur lequel  sont notifiées les informations relatives à ses réparations et les contrôles techniques.</v>
      </c>
      <c r="P28" s="412" t="str">
        <f t="shared" si="7"/>
        <v>Eine Kartei/Datei hält Reparaturdaten und technische Kontrollen aller Geräte fest.</v>
      </c>
      <c r="Q28" s="415" t="str">
        <f>Kriterien!U31</f>
        <v>Visitation, Dokument, Datei</v>
      </c>
      <c r="R28" s="416" t="str">
        <f>Kriterien!V31</f>
        <v>Visite, Document, Fichier</v>
      </c>
      <c r="S28" s="412" t="str">
        <f t="shared" si="8"/>
        <v>Visitation, Dokument, Datei</v>
      </c>
      <c r="U28" s="799"/>
      <c r="V28" s="2041"/>
    </row>
    <row r="29" spans="1:22" s="184" customFormat="1" ht="18">
      <c r="A29" s="526"/>
      <c r="B29" s="433"/>
      <c r="C29" s="40">
        <v>1.2</v>
      </c>
      <c r="D29" s="4" t="str">
        <f t="shared" si="5"/>
        <v>Datenerfassung</v>
      </c>
      <c r="E29" s="26" t="str">
        <f t="shared" si="6"/>
        <v/>
      </c>
      <c r="F29" s="161"/>
      <c r="J29" s="2041"/>
      <c r="K29" s="799"/>
      <c r="N29" s="415" t="str">
        <f>Kriterien!R32</f>
        <v>Datenerfassung</v>
      </c>
      <c r="O29" s="428" t="str">
        <f>Kriterien!S32</f>
        <v>Saisie des données</v>
      </c>
      <c r="P29" s="412" t="str">
        <f t="shared" si="7"/>
        <v>Datenerfassung</v>
      </c>
      <c r="Q29" s="415">
        <f>Kriterien!U32</f>
        <v>0</v>
      </c>
      <c r="R29" s="416">
        <f>Kriterien!V32</f>
        <v>0</v>
      </c>
      <c r="S29" s="412" t="str">
        <f t="shared" si="8"/>
        <v/>
      </c>
      <c r="U29" s="799"/>
      <c r="V29" s="2041"/>
    </row>
    <row r="30" spans="1:22" s="21" customFormat="1" ht="25">
      <c r="A30" s="527"/>
      <c r="B30" s="433"/>
      <c r="C30" s="46" t="s">
        <v>173</v>
      </c>
      <c r="D30" s="115" t="str">
        <f t="shared" si="5"/>
        <v>Die Verantwortlichen der IS erfassen Daten gemäss den Vorgaben des MDSi der SGI.</v>
      </c>
      <c r="E30" s="15" t="str">
        <f t="shared" si="6"/>
        <v/>
      </c>
      <c r="F30" s="162"/>
      <c r="J30" s="2041"/>
      <c r="K30"/>
      <c r="N30" s="415" t="str">
        <f>Kriterien!R33</f>
        <v>Die Verantwortlichen der IS erfassen Daten gemäss den Vorgaben des MDSi der SGI.</v>
      </c>
      <c r="O30" s="428" t="str">
        <f>Kriterien!S33</f>
        <v>Les  responsables  de l'USI  saisissent  les données  selon  les prescriptions  du MDSi de la SSMI.</v>
      </c>
      <c r="P30" s="412" t="str">
        <f t="shared" si="7"/>
        <v>Die Verantwortlichen der IS erfassen Daten gemäss den Vorgaben des MDSi der SGI.</v>
      </c>
      <c r="Q30" s="415">
        <f>Kriterien!U33</f>
        <v>0</v>
      </c>
      <c r="R30" s="416">
        <f>Kriterien!V33</f>
        <v>0</v>
      </c>
      <c r="S30" s="412" t="str">
        <f t="shared" si="8"/>
        <v/>
      </c>
      <c r="U30"/>
      <c r="V30" s="2041"/>
    </row>
    <row r="31" spans="1:22" s="21" customFormat="1" ht="28">
      <c r="A31" s="527"/>
      <c r="B31" s="433"/>
      <c r="C31" s="46" t="s">
        <v>174</v>
      </c>
      <c r="D31" s="5" t="str">
        <f t="shared" si="5"/>
        <v>Die Strukturdaten des vergangenen Jahres sind bis spätestens 28. Februar auf dem zentralen Server.</v>
      </c>
      <c r="E31" s="28" t="str">
        <f t="shared" si="6"/>
        <v/>
      </c>
      <c r="F31" s="162"/>
      <c r="J31" s="2041"/>
      <c r="K31" s="799"/>
      <c r="N31" s="415" t="str">
        <f>Kriterien!R34</f>
        <v>Die Strukturdaten des vergangenen Jahres sind bis spätestens 28. Februar auf dem zentralen Server.</v>
      </c>
      <c r="O31" s="428" t="str">
        <f>Kriterien!S34</f>
        <v>Les données structurelles de l'année précédente sont conservées jusqu'a 28 février au plus tard sur le serveur central.</v>
      </c>
      <c r="P31" s="412" t="str">
        <f t="shared" si="7"/>
        <v>Die Strukturdaten des vergangenen Jahres sind bis spätestens 28. Februar auf dem zentralen Server.</v>
      </c>
      <c r="Q31" s="415">
        <f>Kriterien!U34</f>
        <v>0</v>
      </c>
      <c r="R31" s="416">
        <f>Kriterien!V34</f>
        <v>0</v>
      </c>
      <c r="S31" s="412" t="str">
        <f t="shared" si="8"/>
        <v/>
      </c>
      <c r="U31" s="799"/>
      <c r="V31" s="2041"/>
    </row>
    <row r="32" spans="1:22" s="184" customFormat="1" ht="18">
      <c r="A32" s="526"/>
      <c r="B32" s="433"/>
      <c r="C32" s="40">
        <v>1.3</v>
      </c>
      <c r="D32" s="4" t="str">
        <f t="shared" si="5"/>
        <v>Bettenzahl</v>
      </c>
      <c r="E32" s="4" t="str">
        <f t="shared" si="6"/>
        <v/>
      </c>
      <c r="F32" s="161"/>
      <c r="J32" s="2041"/>
      <c r="K32" s="799"/>
      <c r="N32" s="415" t="str">
        <f>Kriterien!R35</f>
        <v>Bettenzahl</v>
      </c>
      <c r="O32" s="428" t="str">
        <f>Kriterien!S35</f>
        <v>Nombre de lits</v>
      </c>
      <c r="P32" s="412" t="str">
        <f t="shared" si="7"/>
        <v>Bettenzahl</v>
      </c>
      <c r="Q32" s="415">
        <f>Kriterien!U35</f>
        <v>0</v>
      </c>
      <c r="R32" s="416">
        <f>Kriterien!V35</f>
        <v>0</v>
      </c>
      <c r="S32" s="412" t="str">
        <f t="shared" si="8"/>
        <v/>
      </c>
      <c r="U32" s="799"/>
      <c r="V32" s="2041"/>
    </row>
    <row r="33" spans="1:22" s="21" customFormat="1" ht="18">
      <c r="A33" s="527"/>
      <c r="B33" s="433"/>
      <c r="C33" s="49" t="s">
        <v>175</v>
      </c>
      <c r="D33" s="6" t="str">
        <f t="shared" si="5"/>
        <v>Minimale Anzahl betriebener Betten: 6</v>
      </c>
      <c r="E33" s="6" t="str">
        <f t="shared" si="6"/>
        <v>Dokument, Visitation</v>
      </c>
      <c r="F33" s="162"/>
      <c r="J33" s="2041"/>
      <c r="K33" s="799"/>
      <c r="N33" s="415" t="str">
        <f>Kriterien!R36</f>
        <v>Minimale Anzahl betriebener Betten: 6</v>
      </c>
      <c r="O33" s="428" t="str">
        <f>Kriterien!S36</f>
        <v>Nombre minimum de lits exploités : 6</v>
      </c>
      <c r="P33" s="412" t="str">
        <f t="shared" si="7"/>
        <v>Minimale Anzahl betriebener Betten: 6</v>
      </c>
      <c r="Q33" s="415" t="str">
        <f>Kriterien!U36</f>
        <v>Dokument, Visitation</v>
      </c>
      <c r="R33" s="416" t="str">
        <f>Kriterien!V36</f>
        <v>Document, Visite</v>
      </c>
      <c r="S33" s="412" t="str">
        <f t="shared" si="8"/>
        <v>Dokument, Visitation</v>
      </c>
      <c r="U33" s="799"/>
      <c r="V33" s="2041"/>
    </row>
    <row r="34" spans="1:22" s="21" customFormat="1" ht="27" customHeight="1">
      <c r="A34" s="526"/>
      <c r="B34" s="300"/>
      <c r="C34" s="50" t="s">
        <v>176</v>
      </c>
      <c r="D34" s="6" t="str">
        <f t="shared" si="5"/>
        <v>Betriebene Betten ≥ 12 sollten in funktionelle Untereinheiten aufgeteilt sein. Für IS mit &lt;12 Betten wird im Feld «Kann-Kriterium» eine «2» eingetragen.</v>
      </c>
      <c r="E34" s="6" t="str">
        <f t="shared" si="6"/>
        <v>Dokument, Visitation</v>
      </c>
      <c r="F34" s="162"/>
      <c r="J34" s="2041"/>
      <c r="K34" s="799"/>
      <c r="N34" s="415" t="str">
        <f>Kriterien!R37</f>
        <v>Betriebene Betten ≥ 12 sollten in funktionelle Untereinheiten aufgeteilt sein. Für IS mit &lt;12 Betten wird im Feld «Kann-Kriterium» eine «2» eingetragen.</v>
      </c>
      <c r="O34" s="428" t="str">
        <f>Kriterien!S37</f>
        <v>Pour un nombre de lits exploités ≥ 12, il est conseillé d'organiser l'USI en secteurs fonctionnels distincts. Pour les USI avec &lt; 12 lits, on inscrit "2" comme critère souhaitable.</v>
      </c>
      <c r="P34" s="412" t="str">
        <f t="shared" si="7"/>
        <v>Betriebene Betten ≥ 12 sollten in funktionelle Untereinheiten aufgeteilt sein. Für IS mit &lt;12 Betten wird im Feld «Kann-Kriterium» eine «2» eingetragen.</v>
      </c>
      <c r="Q34" s="415" t="str">
        <f>Kriterien!U37</f>
        <v>Dokument, Visitation</v>
      </c>
      <c r="R34" s="416" t="str">
        <f>Kriterien!V37</f>
        <v>Document, Visite</v>
      </c>
      <c r="S34" s="412" t="str">
        <f t="shared" si="8"/>
        <v>Dokument, Visitation</v>
      </c>
      <c r="U34" s="799"/>
      <c r="V34" s="2041"/>
    </row>
    <row r="35" spans="1:22" s="184" customFormat="1" ht="18">
      <c r="A35" s="526"/>
      <c r="B35" s="433"/>
      <c r="C35" s="185">
        <v>1.4</v>
      </c>
      <c r="D35" s="186" t="str">
        <f t="shared" si="5"/>
        <v>Patienten, Kategorisierung/Schweregrad und Pflegetage</v>
      </c>
      <c r="E35" s="38" t="str">
        <f t="shared" si="6"/>
        <v/>
      </c>
      <c r="F35" s="161"/>
      <c r="J35" s="2041"/>
      <c r="K35" s="799"/>
      <c r="N35" s="415" t="str">
        <f>Kriterien!R38</f>
        <v>Patienten, Kategorisierung/Schweregrad und Pflegetage</v>
      </c>
      <c r="O35" s="428" t="str">
        <f>Kriterien!S38</f>
        <v>Patients, catégorisation/degré de gravité et journées de soins</v>
      </c>
      <c r="P35" s="412" t="str">
        <f t="shared" si="7"/>
        <v>Patienten, Kategorisierung/Schweregrad und Pflegetage</v>
      </c>
      <c r="Q35" s="415">
        <f>Kriterien!U38</f>
        <v>0</v>
      </c>
      <c r="R35" s="416">
        <f>Kriterien!V38</f>
        <v>0</v>
      </c>
      <c r="S35" s="412" t="str">
        <f t="shared" si="8"/>
        <v/>
      </c>
      <c r="U35" s="799"/>
      <c r="V35" s="2041"/>
    </row>
    <row r="36" spans="1:22" s="27" customFormat="1" ht="289" customHeight="1">
      <c r="A36" s="526"/>
      <c r="B36" s="433"/>
      <c r="C36" s="97"/>
      <c r="D36" s="260" t="str">
        <f t="shared" si="5"/>
        <v xml:space="preserve">          Tabelle auf Deutsch</v>
      </c>
      <c r="E36" s="261" t="str">
        <f t="shared" si="6"/>
        <v xml:space="preserve">      Tabelle auf Französisch</v>
      </c>
      <c r="F36" s="528"/>
      <c r="J36" s="2041"/>
      <c r="K36" s="799"/>
      <c r="M36" s="18"/>
      <c r="N36" s="417" t="str">
        <f>Kriterien!R39</f>
        <v xml:space="preserve">          Tabelle auf Deutsch</v>
      </c>
      <c r="O36" s="429" t="str">
        <f>Kriterien!S39</f>
        <v xml:space="preserve">          Tableau en Allemand</v>
      </c>
      <c r="P36" s="419" t="str">
        <f t="shared" si="7"/>
        <v xml:space="preserve">          Tabelle auf Deutsch</v>
      </c>
      <c r="Q36" s="417" t="str">
        <f>Kriterien!U39</f>
        <v xml:space="preserve">      Tabelle auf Französisch</v>
      </c>
      <c r="R36" s="418" t="str">
        <f>Kriterien!V39</f>
        <v xml:space="preserve">      Tableau en Français</v>
      </c>
      <c r="S36" s="419" t="str">
        <f t="shared" si="8"/>
        <v xml:space="preserve">      Tabelle auf Französisch</v>
      </c>
      <c r="U36" s="799"/>
      <c r="V36" s="2041"/>
    </row>
    <row r="37" spans="1:22" s="21" customFormat="1" ht="18">
      <c r="A37" s="527"/>
      <c r="B37" s="433"/>
      <c r="C37" s="50" t="s">
        <v>177</v>
      </c>
      <c r="D37" s="115" t="str">
        <f>P37</f>
        <v>Die Patientenkategorisierung geschieht nach den Vorgaben des MDSi.</v>
      </c>
      <c r="E37" s="6" t="str">
        <f>S37</f>
        <v>Visitation</v>
      </c>
      <c r="F37" s="162"/>
      <c r="J37" s="2041"/>
      <c r="K37" s="799"/>
      <c r="N37" s="415" t="str">
        <f>Kriterien!R40</f>
        <v>Die Patientenkategorisierung geschieht nach den Vorgaben des MDSi.</v>
      </c>
      <c r="O37" s="428" t="str">
        <f>Kriterien!S40</f>
        <v>La catégorisation des patients s’effectue selon les prescriptions du MDSi.</v>
      </c>
      <c r="P37" s="412" t="str">
        <f t="shared" si="7"/>
        <v>Die Patientenkategorisierung geschieht nach den Vorgaben des MDSi.</v>
      </c>
      <c r="Q37" s="415" t="str">
        <f>Kriterien!U40</f>
        <v>Visitation</v>
      </c>
      <c r="R37" s="416" t="str">
        <f>Kriterien!V40</f>
        <v>Visite</v>
      </c>
      <c r="S37" s="412" t="str">
        <f t="shared" si="8"/>
        <v>Visitation</v>
      </c>
      <c r="U37" s="799"/>
      <c r="V37" s="2041"/>
    </row>
    <row r="38" spans="1:22" s="21" customFormat="1" ht="38.25" customHeight="1">
      <c r="A38" s="527"/>
      <c r="B38" s="433"/>
      <c r="C38" s="50" t="s">
        <v>178</v>
      </c>
      <c r="D38" s="115" t="str">
        <f t="shared" ref="D38:D102" si="9">P38</f>
        <v>Alle Patienten, die auf der IS behandelt werden, inklusive Patienten nach Schlaganfall oder zukünftig andere Gruppen, werden nach den Kriterien des MDSi kategorisiert und statistisch erfasst.</v>
      </c>
      <c r="E38" s="6" t="str">
        <f t="shared" ref="E38:E102" si="10">S38</f>
        <v>Visitation, Organisationsreglement</v>
      </c>
      <c r="F38" s="162"/>
      <c r="J38" s="2041"/>
      <c r="K38"/>
      <c r="N38" s="415" t="str">
        <f>Kriterien!R41</f>
        <v>Alle Patienten, die auf der IS behandelt werden, inklusive Patienten nach Schlaganfall oder zukünftig andere Gruppen, werden nach den Kriterien des MDSi kategorisiert und statistisch erfasst.</v>
      </c>
      <c r="O38" s="428" t="str">
        <f>Kriterien!S41</f>
        <v>Tous les patients traités dans l'USI, y compris les patients qui ont été victimes d'une attaque cérébrale ou d'autres groupes à l'avenir, sont classés en fonction des critères prévus par le MDSi et inclus dans les données statistiques.</v>
      </c>
      <c r="P38" s="412" t="str">
        <f t="shared" si="7"/>
        <v>Alle Patienten, die auf der IS behandelt werden, inklusive Patienten nach Schlaganfall oder zukünftig andere Gruppen, werden nach den Kriterien des MDSi kategorisiert und statistisch erfasst.</v>
      </c>
      <c r="Q38" s="415" t="str">
        <f>Kriterien!U41</f>
        <v>Visitation, Organisationsreglement</v>
      </c>
      <c r="R38" s="416" t="str">
        <f>Kriterien!V41</f>
        <v>Visite, règlement d'organisation</v>
      </c>
      <c r="S38" s="412" t="str">
        <f t="shared" si="8"/>
        <v>Visitation, Organisationsreglement</v>
      </c>
      <c r="U38"/>
      <c r="V38" s="2041"/>
    </row>
    <row r="39" spans="1:22" s="21" customFormat="1" ht="182">
      <c r="A39" s="527"/>
      <c r="B39" s="433"/>
      <c r="C39" s="50" t="s">
        <v>179</v>
      </c>
      <c r="D39" s="7" t="str">
        <f t="shared" si="9"/>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E39" s="6" t="str">
        <f t="shared" si="10"/>
        <v xml:space="preserve">MDSi      </v>
      </c>
      <c r="F39" s="162"/>
      <c r="J39" s="2041"/>
      <c r="K39"/>
      <c r="N39" s="415" t="str">
        <f>Kriterien!R42</f>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O39" s="428" t="str">
        <f>Kriterien!S42</f>
        <v>L’USI doit totaliser au moins 1300 journées de soins par année (6 lits, 60 % d'occupation en moyenne) [1 000 journées pour les Unités de soins intensifs (USI) extraordinaires, le taux d'occupation n'est pas pertinent]. Seuls les chiffres prévus dans le MDSi sont applicables (journées de soins = total des horaires effectifs divisé par 3). (Dans le MDSi, les chiffres sont saisis sur la base d'horaires de 8 heures uniquement. La conversion d'horaires de 12 heures en horaires de 8 heures est effectuée selon les prescriptions du règlement du MDSi.)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P39" s="412" t="str">
        <f t="shared" si="7"/>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Q39" s="415" t="str">
        <f>Kriterien!U42</f>
        <v xml:space="preserve">MDSi      </v>
      </c>
      <c r="R39" s="416" t="str">
        <f>Kriterien!V42</f>
        <v xml:space="preserve">MDSi      </v>
      </c>
      <c r="S39" s="412" t="str">
        <f t="shared" si="8"/>
        <v xml:space="preserve">MDSi      </v>
      </c>
      <c r="U39"/>
      <c r="V39" s="2041"/>
    </row>
    <row r="40" spans="1:22" s="21" customFormat="1" ht="121">
      <c r="A40" s="527"/>
      <c r="B40" s="433"/>
      <c r="C40" s="50" t="s">
        <v>180</v>
      </c>
      <c r="D40" s="115" t="str">
        <f t="shared" si="9"/>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0" s="6" t="str">
        <f t="shared" si="10"/>
        <v>MDSi</v>
      </c>
      <c r="F40" s="162"/>
      <c r="J40" s="2041"/>
      <c r="K40" s="799"/>
      <c r="N40" s="415" t="str">
        <f>Kriterien!R43</f>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O40" s="428" t="str">
        <f>Kriterien!S43</f>
        <v>La part relative des horaires de soins en catégorie 1 est supérieure à 15 %.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P40" s="412" t="str">
        <f t="shared" si="7"/>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Q40" s="415" t="str">
        <f>Kriterien!U43</f>
        <v>MDSi</v>
      </c>
      <c r="R40" s="416" t="str">
        <f>Kriterien!V43</f>
        <v>MDSi</v>
      </c>
      <c r="S40" s="412" t="str">
        <f t="shared" si="8"/>
        <v>MDSi</v>
      </c>
      <c r="U40" s="799"/>
      <c r="V40" s="2041"/>
    </row>
    <row r="41" spans="1:22" s="21" customFormat="1" ht="133">
      <c r="A41" s="527"/>
      <c r="B41" s="433"/>
      <c r="C41" s="50" t="s">
        <v>181</v>
      </c>
      <c r="D41" s="115" t="str">
        <f t="shared" si="9"/>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1" s="6" t="str">
        <f t="shared" si="10"/>
        <v>MDSi</v>
      </c>
      <c r="F41" s="162"/>
      <c r="J41" s="2041"/>
      <c r="K41" s="799"/>
      <c r="N41" s="410" t="str">
        <f>Kriterien!R44</f>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O41" s="413" t="str">
        <f>Kriterien!S44</f>
        <v>La part relative des horaires de soins en catégorie 3 est inférieure à 30 %.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P41" s="412" t="str">
        <f t="shared" si="7"/>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Q41" s="415" t="str">
        <f>Kriterien!U44</f>
        <v>MDSi</v>
      </c>
      <c r="R41" s="416" t="str">
        <f>Kriterien!V44</f>
        <v>MDSi</v>
      </c>
      <c r="S41" s="412" t="str">
        <f t="shared" si="8"/>
        <v>MDSi</v>
      </c>
      <c r="U41" s="799"/>
      <c r="V41" s="2041"/>
    </row>
    <row r="42" spans="1:22" s="21" customFormat="1" ht="18">
      <c r="A42" s="527"/>
      <c r="B42" s="433"/>
      <c r="C42" s="50" t="s">
        <v>182</v>
      </c>
      <c r="D42" s="115" t="str">
        <f t="shared" si="9"/>
        <v>Der Aufwachraum ist örtlich und organisatorisch von der IS getrennt</v>
      </c>
      <c r="E42" s="6" t="str">
        <f t="shared" si="10"/>
        <v>Visitation</v>
      </c>
      <c r="F42" s="162"/>
      <c r="J42" s="2041"/>
      <c r="K42" s="799"/>
      <c r="N42" s="415" t="str">
        <f>Kriterien!R45</f>
        <v>Der Aufwachraum ist örtlich und organisatorisch von der IS getrennt</v>
      </c>
      <c r="O42" s="428" t="str">
        <f>Kriterien!S45</f>
        <v>La salle de réveil est séparée de l'USI d'un point de vue géographique et organisationnel.</v>
      </c>
      <c r="P42" s="412" t="str">
        <f t="shared" si="7"/>
        <v>Der Aufwachraum ist örtlich und organisatorisch von der IS getrennt</v>
      </c>
      <c r="Q42" s="415" t="str">
        <f>Kriterien!U45</f>
        <v>Visitation</v>
      </c>
      <c r="R42" s="416" t="str">
        <f>Kriterien!V45</f>
        <v>Visite</v>
      </c>
      <c r="S42" s="412" t="str">
        <f t="shared" si="8"/>
        <v>Visitation</v>
      </c>
      <c r="U42" s="799"/>
      <c r="V42" s="2041"/>
    </row>
    <row r="43" spans="1:22" s="21" customFormat="1" ht="25">
      <c r="A43" s="526"/>
      <c r="B43" s="300"/>
      <c r="C43" s="50" t="s">
        <v>183</v>
      </c>
      <c r="D43" s="115" t="str">
        <f t="shared" si="9"/>
        <v>Aufwachpatienten dürfen nur zu Randzeiten auf der IS behandelt werden.</v>
      </c>
      <c r="E43" s="6" t="str">
        <f t="shared" si="10"/>
        <v xml:space="preserve">Visitation </v>
      </c>
      <c r="F43" s="162"/>
      <c r="J43" s="2041"/>
      <c r="K43" s="799"/>
      <c r="N43" s="415" t="str">
        <f>Kriterien!R46</f>
        <v>Aufwachpatienten dürfen nur zu Randzeiten auf der IS behandelt werden.</v>
      </c>
      <c r="O43" s="428" t="str">
        <f>Kriterien!S46</f>
        <v>Les patients de type salle de réveil ne peuvent être pris en charge dans l'USI que durant les heures creuses.</v>
      </c>
      <c r="P43" s="412" t="str">
        <f t="shared" si="7"/>
        <v>Aufwachpatienten dürfen nur zu Randzeiten auf der IS behandelt werden.</v>
      </c>
      <c r="Q43" s="415" t="str">
        <f>Kriterien!U46</f>
        <v xml:space="preserve">Visitation </v>
      </c>
      <c r="R43" s="416" t="str">
        <f>Kriterien!V46</f>
        <v>Visite</v>
      </c>
      <c r="S43" s="412" t="str">
        <f t="shared" si="8"/>
        <v xml:space="preserve">Visitation </v>
      </c>
      <c r="U43" s="799"/>
      <c r="V43" s="2041"/>
    </row>
    <row r="44" spans="1:22" s="21" customFormat="1" ht="24">
      <c r="A44" s="527"/>
      <c r="B44" s="433"/>
      <c r="C44" s="50" t="s">
        <v>184</v>
      </c>
      <c r="D44" s="115" t="str">
        <f t="shared" si="9"/>
        <v>Aufwachpatienten dürfen nicht im MDSi als Intensivpatienten erfasst werden.</v>
      </c>
      <c r="E44" s="6" t="str">
        <f t="shared" si="10"/>
        <v>Visitation</v>
      </c>
      <c r="F44" s="162"/>
      <c r="J44" s="2045"/>
      <c r="K44" s="799"/>
      <c r="N44" s="415" t="str">
        <f>Kriterien!R47</f>
        <v>Aufwachpatienten dürfen nicht im MDSi als Intensivpatienten erfasst werden.</v>
      </c>
      <c r="O44" s="428" t="str">
        <f>Kriterien!S47</f>
        <v>Les patients de type salle de réveil ne doivent pas être saisis dans les MDSi en tant que patients de soins intensifs.</v>
      </c>
      <c r="P44" s="412" t="str">
        <f t="shared" si="7"/>
        <v>Aufwachpatienten dürfen nicht im MDSi als Intensivpatienten erfasst werden.</v>
      </c>
      <c r="Q44" s="415" t="str">
        <f>Kriterien!U47</f>
        <v>Visitation</v>
      </c>
      <c r="R44" s="416" t="str">
        <f>Kriterien!V47</f>
        <v>Visite</v>
      </c>
      <c r="S44" s="412" t="str">
        <f t="shared" si="8"/>
        <v>Visitation</v>
      </c>
      <c r="U44" s="799"/>
      <c r="V44" s="2045"/>
    </row>
    <row r="45" spans="1:22" s="187" customFormat="1" ht="18">
      <c r="A45" s="432"/>
      <c r="B45" s="432"/>
      <c r="C45" s="39">
        <v>2</v>
      </c>
      <c r="D45" s="3" t="str">
        <f t="shared" si="9"/>
        <v>Räumliche/architektonische Anforderungen</v>
      </c>
      <c r="E45" s="3" t="str">
        <f t="shared" si="10"/>
        <v/>
      </c>
      <c r="F45" s="256"/>
      <c r="J45" s="2045"/>
      <c r="K45" s="799"/>
      <c r="N45" s="415" t="str">
        <f>Kriterien!R48</f>
        <v>Räumliche/architektonische Anforderungen</v>
      </c>
      <c r="O45" s="428" t="str">
        <f>Kriterien!S48</f>
        <v>Exigences relatives aux locaux/à l'architecture</v>
      </c>
      <c r="P45" s="412" t="str">
        <f t="shared" si="7"/>
        <v>Räumliche/architektonische Anforderungen</v>
      </c>
      <c r="Q45" s="415">
        <f>Kriterien!U48</f>
        <v>0</v>
      </c>
      <c r="R45" s="416">
        <f>Kriterien!V48</f>
        <v>0</v>
      </c>
      <c r="S45" s="412" t="str">
        <f t="shared" si="8"/>
        <v/>
      </c>
      <c r="U45" s="799"/>
      <c r="V45" s="2045"/>
    </row>
    <row r="46" spans="1:22" s="184" customFormat="1" ht="18">
      <c r="A46" s="526"/>
      <c r="B46" s="433"/>
      <c r="C46" s="40">
        <v>2.1</v>
      </c>
      <c r="D46" s="4" t="str">
        <f t="shared" si="9"/>
        <v>Lokalisation im Spital und Lärm</v>
      </c>
      <c r="E46" s="26" t="str">
        <f t="shared" si="10"/>
        <v/>
      </c>
      <c r="F46" s="161"/>
      <c r="J46" s="2041"/>
      <c r="K46" s="799"/>
      <c r="N46" s="415" t="str">
        <f>Kriterien!R49</f>
        <v>Lokalisation im Spital und Lärm</v>
      </c>
      <c r="O46" s="428" t="str">
        <f>Kriterien!S49</f>
        <v>Emplacement dans l'hôpital et nuisances sonores</v>
      </c>
      <c r="P46" s="412" t="str">
        <f t="shared" si="7"/>
        <v>Lokalisation im Spital und Lärm</v>
      </c>
      <c r="Q46" s="415">
        <f>Kriterien!U49</f>
        <v>0</v>
      </c>
      <c r="R46" s="416">
        <f>Kriterien!V49</f>
        <v>0</v>
      </c>
      <c r="S46" s="412" t="str">
        <f t="shared" si="8"/>
        <v/>
      </c>
      <c r="U46" s="799"/>
      <c r="V46" s="2041"/>
    </row>
    <row r="47" spans="1:22" s="21" customFormat="1" ht="42">
      <c r="A47" s="527"/>
      <c r="B47" s="433"/>
      <c r="C47" s="50" t="s">
        <v>185</v>
      </c>
      <c r="D47" s="115" t="str">
        <f t="shared" si="9"/>
        <v xml:space="preserve">Die IS umfasst ein genau definiertes und von anderen Stationen (Notfallstation, Aufwachraum, Intermediate-Care-Station [nicht abschliessende Aufzählung]) getrenntes Areal. </v>
      </c>
      <c r="E47" s="6" t="str">
        <f t="shared" si="10"/>
        <v>Pläne, Visitation</v>
      </c>
      <c r="F47" s="162"/>
      <c r="J47" s="2041"/>
      <c r="K47" s="799"/>
      <c r="N47" s="415" t="str">
        <f>Kriterien!R50</f>
        <v xml:space="preserve">Die IS umfasst ein genau definiertes und von anderen Stationen (Notfallstation, Aufwachraum, Intermediate-Care-Station [nicht abschliessende Aufzählung]) getrenntes Areal. </v>
      </c>
      <c r="O47" s="428" t="str">
        <f>Kriterien!S50</f>
        <v xml:space="preserve">L'USI occupe un territoire bien défini et séparé des autres unités de soins (service des urgences, salle de réveil, service de soins intermédiaires [liste non exhaustive]). </v>
      </c>
      <c r="P47" s="412" t="str">
        <f t="shared" si="7"/>
        <v xml:space="preserve">Die IS umfasst ein genau definiertes und von anderen Stationen (Notfallstation, Aufwachraum, Intermediate-Care-Station [nicht abschliessende Aufzählung]) getrenntes Areal. </v>
      </c>
      <c r="Q47" s="415" t="str">
        <f>Kriterien!U50</f>
        <v>Pläne, Visitation</v>
      </c>
      <c r="R47" s="416" t="str">
        <f>Kriterien!V50</f>
        <v>Plans, visite</v>
      </c>
      <c r="S47" s="412" t="str">
        <f t="shared" si="8"/>
        <v>Pläne, Visitation</v>
      </c>
      <c r="U47" s="799"/>
      <c r="V47" s="2041"/>
    </row>
    <row r="48" spans="1:22" s="21" customFormat="1" ht="73">
      <c r="A48" s="526"/>
      <c r="B48" s="300"/>
      <c r="C48" s="50" t="s">
        <v>186</v>
      </c>
      <c r="D48" s="115" t="str">
        <f t="shared" si="9"/>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E48" s="6" t="str">
        <f t="shared" si="10"/>
        <v>Pläne, Visitation</v>
      </c>
      <c r="F48" s="162"/>
      <c r="J48" s="2041"/>
      <c r="K48"/>
      <c r="N48" s="415" t="str">
        <f>Kriterien!R51</f>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O48" s="428" t="str">
        <f>Kriterien!S51</f>
        <v>En raison de sa mission, le service des soins intensifs se situe à un endroit stratégiquement optimal de l'hôpital, par exemple à proximité des salles d'opération, du service des urgences, des soins intermédiaires, des autres USI, d’un ascenseur pour lits, du service de radiologie ou d'autres services dans lesquels sont pratiqués des examens ou traitements nécessaires aux patients des soins intensifs (p.ex. coronarographie, endoscopie).</v>
      </c>
      <c r="P48" s="412" t="str">
        <f t="shared" si="7"/>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Q48" s="415" t="str">
        <f>Kriterien!U51</f>
        <v>Pläne, Visitation</v>
      </c>
      <c r="R48" s="416" t="str">
        <f>Kriterien!V51</f>
        <v>Plans, visite</v>
      </c>
      <c r="S48" s="412" t="str">
        <f t="shared" si="8"/>
        <v>Pläne, Visitation</v>
      </c>
      <c r="U48"/>
      <c r="V48" s="2041"/>
    </row>
    <row r="49" spans="1:22" s="21" customFormat="1" ht="25">
      <c r="A49" s="527"/>
      <c r="B49" s="433"/>
      <c r="C49" s="50" t="s">
        <v>187</v>
      </c>
      <c r="D49" s="115" t="str">
        <f t="shared" si="9"/>
        <v xml:space="preserve">Durch die IS findet kein Durchgangsverkehr von Patienten, Personal oder Material statt. </v>
      </c>
      <c r="E49" s="6" t="str">
        <f t="shared" si="10"/>
        <v>Pläne, Visitation</v>
      </c>
      <c r="F49" s="162"/>
      <c r="J49" s="2041"/>
      <c r="K49"/>
      <c r="N49" s="415" t="str">
        <f>Kriterien!R52</f>
        <v xml:space="preserve">Durch die IS findet kein Durchgangsverkehr von Patienten, Personal oder Material statt. </v>
      </c>
      <c r="O49" s="428" t="str">
        <f>Kriterien!S52</f>
        <v xml:space="preserve">L'USI ne servira pas de lieu de transit pour les patients, le personnel ou le matériel. </v>
      </c>
      <c r="P49" s="412" t="str">
        <f t="shared" si="7"/>
        <v xml:space="preserve">Durch die IS findet kein Durchgangsverkehr von Patienten, Personal oder Material statt. </v>
      </c>
      <c r="Q49" s="415" t="str">
        <f>Kriterien!U52</f>
        <v>Pläne, Visitation</v>
      </c>
      <c r="R49" s="416" t="str">
        <f>Kriterien!V52</f>
        <v>Plans, visite</v>
      </c>
      <c r="S49" s="412" t="str">
        <f t="shared" si="8"/>
        <v>Pläne, Visitation</v>
      </c>
      <c r="U49"/>
      <c r="V49" s="2041"/>
    </row>
    <row r="50" spans="1:22" s="21" customFormat="1" ht="61">
      <c r="A50" s="526"/>
      <c r="B50" s="300"/>
      <c r="C50" s="44" t="s">
        <v>297</v>
      </c>
      <c r="D50" s="8" t="str">
        <f t="shared" si="9"/>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E50" s="28" t="str">
        <f t="shared" si="10"/>
        <v>Baudokumentation, Gerätedokumentation, Visitation</v>
      </c>
      <c r="F50" s="162"/>
      <c r="J50" s="2041"/>
      <c r="K50"/>
      <c r="N50" s="415" t="str">
        <f>Kriterien!R53</f>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O50" s="428" t="str">
        <f>Kriterien!S53</f>
        <v>Une attention particulière sera apportée à la réduction du bruit. On veillera à réduire les nuisances sonores environnantes, à isoler les chambres d'un point de vue acoustique à l'aide de matériaux appropriés, à disposer d'alarmes optiques et acoustiques adéquates sur les appareils et le téléphone et à disposer d'un niveau sonore approprié sur des machines telles que les respirateurs.</v>
      </c>
      <c r="P50" s="412" t="str">
        <f t="shared" si="7"/>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Q50" s="415" t="str">
        <f>Kriterien!U53</f>
        <v>Baudokumentation, Gerätedokumentation, Visitation</v>
      </c>
      <c r="R50" s="416" t="str">
        <f>Kriterien!V53</f>
        <v>Documentation relative au bâtiment, aux appareils, visite</v>
      </c>
      <c r="S50" s="412" t="str">
        <f t="shared" si="8"/>
        <v>Baudokumentation, Gerätedokumentation, Visitation</v>
      </c>
      <c r="U50"/>
      <c r="V50" s="2041"/>
    </row>
    <row r="51" spans="1:22" s="21" customFormat="1" ht="18">
      <c r="A51" s="526"/>
      <c r="B51" s="433"/>
      <c r="C51" s="40">
        <v>2.2000000000000002</v>
      </c>
      <c r="D51" s="9" t="str">
        <f t="shared" si="9"/>
        <v>Zugang und Besuch</v>
      </c>
      <c r="E51" s="32" t="str">
        <f t="shared" si="10"/>
        <v/>
      </c>
      <c r="F51" s="162"/>
      <c r="J51" s="2041"/>
      <c r="K51" s="799"/>
      <c r="N51" s="415" t="str">
        <f>Kriterien!R54</f>
        <v>Zugang und Besuch</v>
      </c>
      <c r="O51" s="428" t="str">
        <f>Kriterien!S54</f>
        <v>Accès et visite</v>
      </c>
      <c r="P51" s="412" t="str">
        <f t="shared" si="7"/>
        <v>Zugang und Besuch</v>
      </c>
      <c r="Q51" s="415">
        <f>Kriterien!U54</f>
        <v>0</v>
      </c>
      <c r="R51" s="416">
        <f>Kriterien!V54</f>
        <v>0</v>
      </c>
      <c r="S51" s="412" t="str">
        <f t="shared" si="8"/>
        <v/>
      </c>
      <c r="U51" s="799"/>
      <c r="V51" s="2041"/>
    </row>
    <row r="52" spans="1:22" s="21" customFormat="1" ht="25">
      <c r="A52" s="526"/>
      <c r="B52" s="300"/>
      <c r="C52" s="50" t="s">
        <v>188</v>
      </c>
      <c r="D52" s="6" t="str">
        <f t="shared" si="9"/>
        <v>Getrennte Zugänge für Betten, Stationspersonal einerseits und Besucher</v>
      </c>
      <c r="E52" s="6" t="str">
        <f t="shared" si="10"/>
        <v>Pläne, Visitation</v>
      </c>
      <c r="F52" s="162"/>
      <c r="J52" s="2041"/>
      <c r="K52" s="799"/>
      <c r="N52" s="415" t="str">
        <f>Kriterien!R55</f>
        <v>Getrennte Zugänge für Betten, Stationspersonal einerseits und Besucher</v>
      </c>
      <c r="O52" s="428" t="str">
        <f>Kriterien!S55</f>
        <v>Il est souhaitable que les accès prévus pour les lits et le personnel de l'Unité soient distincts de l'accès réservé aux visiteurs.</v>
      </c>
      <c r="P52" s="412" t="str">
        <f t="shared" si="7"/>
        <v>Getrennte Zugänge für Betten, Stationspersonal einerseits und Besucher</v>
      </c>
      <c r="Q52" s="415" t="str">
        <f>Kriterien!U55</f>
        <v>Pläne, Visitation</v>
      </c>
      <c r="R52" s="416" t="str">
        <f>Kriterien!V55</f>
        <v>Plans, visite</v>
      </c>
      <c r="S52" s="412" t="str">
        <f t="shared" si="8"/>
        <v>Pläne, Visitation</v>
      </c>
      <c r="U52" s="799"/>
      <c r="V52" s="2041"/>
    </row>
    <row r="53" spans="1:22" s="21" customFormat="1" ht="28">
      <c r="A53" s="526"/>
      <c r="B53" s="300"/>
      <c r="C53" s="50" t="s">
        <v>189</v>
      </c>
      <c r="D53" s="5" t="str">
        <f t="shared" si="9"/>
        <v>Ein Besuchsreglement ist vorhanden. Es erklärt und regelt Zeiten und Besuchs-limitationen.</v>
      </c>
      <c r="E53" s="10" t="str">
        <f t="shared" si="10"/>
        <v>Dokument</v>
      </c>
      <c r="F53" s="162"/>
      <c r="J53" s="2041"/>
      <c r="K53" s="799"/>
      <c r="N53" s="415" t="str">
        <f>Kriterien!R56</f>
        <v>Ein Besuchsreglement ist vorhanden. Es erklärt und regelt Zeiten und Besuchs-limitationen.</v>
      </c>
      <c r="O53" s="428" t="str">
        <f>Kriterien!S56</f>
        <v>Les horaires de visites sont règlementés. Ce règlement expose et définit les horaires et restrictions de visites.</v>
      </c>
      <c r="P53" s="412" t="str">
        <f t="shared" si="7"/>
        <v>Ein Besuchsreglement ist vorhanden. Es erklärt und regelt Zeiten und Besuchs-limitationen.</v>
      </c>
      <c r="Q53" s="415" t="str">
        <f>Kriterien!U56</f>
        <v>Dokument</v>
      </c>
      <c r="R53" s="416" t="str">
        <f>Kriterien!V56</f>
        <v>Document</v>
      </c>
      <c r="S53" s="412" t="str">
        <f t="shared" si="8"/>
        <v>Dokument</v>
      </c>
      <c r="U53" s="799"/>
      <c r="V53" s="2041"/>
    </row>
    <row r="54" spans="1:22" s="21" customFormat="1" ht="18">
      <c r="A54" s="527"/>
      <c r="B54" s="433"/>
      <c r="C54" s="50" t="s">
        <v>190</v>
      </c>
      <c r="D54" s="10" t="str">
        <f t="shared" si="9"/>
        <v>Es gibt eine Anmeldevorrichtung für Besucher.</v>
      </c>
      <c r="E54" s="10" t="str">
        <f t="shared" si="10"/>
        <v>Visitation</v>
      </c>
      <c r="F54" s="162"/>
      <c r="J54" s="2041"/>
      <c r="K54" s="799"/>
      <c r="N54" s="415" t="str">
        <f>Kriterien!R57</f>
        <v>Es gibt eine Anmeldevorrichtung für Besucher.</v>
      </c>
      <c r="O54" s="428" t="str">
        <f>Kriterien!S57</f>
        <v>Il existe un dispositif permettant aux visiteurs de s'annoncer.</v>
      </c>
      <c r="P54" s="412" t="str">
        <f t="shared" si="7"/>
        <v>Es gibt eine Anmeldevorrichtung für Besucher.</v>
      </c>
      <c r="Q54" s="415" t="str">
        <f>Kriterien!U57</f>
        <v>Visitation</v>
      </c>
      <c r="R54" s="416" t="str">
        <f>Kriterien!V57</f>
        <v>Visite</v>
      </c>
      <c r="S54" s="412" t="str">
        <f t="shared" si="8"/>
        <v>Visitation</v>
      </c>
      <c r="U54" s="799"/>
      <c r="V54" s="2041"/>
    </row>
    <row r="55" spans="1:22" s="21" customFormat="1" ht="18">
      <c r="A55" s="526"/>
      <c r="B55" s="433"/>
      <c r="C55" s="40">
        <v>2.2999999999999998</v>
      </c>
      <c r="D55" s="9" t="str">
        <f t="shared" si="9"/>
        <v>Flächen und Distanzen</v>
      </c>
      <c r="E55" s="32" t="str">
        <f t="shared" si="10"/>
        <v/>
      </c>
      <c r="F55" s="162"/>
      <c r="J55" s="2041"/>
      <c r="K55" s="799"/>
      <c r="N55" s="415" t="str">
        <f>Kriterien!R58</f>
        <v>Flächen und Distanzen</v>
      </c>
      <c r="O55" s="428" t="str">
        <f>Kriterien!S58</f>
        <v>Surfaces et distances</v>
      </c>
      <c r="P55" s="412" t="str">
        <f t="shared" si="7"/>
        <v>Flächen und Distanzen</v>
      </c>
      <c r="Q55" s="415">
        <f>Kriterien!U58</f>
        <v>0</v>
      </c>
      <c r="R55" s="416">
        <f>Kriterien!V58</f>
        <v>0</v>
      </c>
      <c r="S55" s="412" t="str">
        <f t="shared" si="8"/>
        <v/>
      </c>
      <c r="U55" s="799"/>
      <c r="V55" s="2041"/>
    </row>
    <row r="56" spans="1:22" s="21" customFormat="1" ht="18">
      <c r="A56" s="526"/>
      <c r="B56" s="433"/>
      <c r="C56" s="50" t="s">
        <v>32</v>
      </c>
      <c r="D56" s="53" t="str">
        <f t="shared" si="9"/>
        <v>Fläche pro Bett</v>
      </c>
      <c r="E56" s="32" t="str">
        <f t="shared" si="10"/>
        <v/>
      </c>
      <c r="F56" s="162"/>
      <c r="J56" s="2041"/>
      <c r="K56" s="799"/>
      <c r="N56" s="415" t="str">
        <f>Kriterien!R59</f>
        <v>Fläche pro Bett</v>
      </c>
      <c r="O56" s="428" t="str">
        <f>Kriterien!S59</f>
        <v>Surface par lit</v>
      </c>
      <c r="P56" s="412" t="str">
        <f t="shared" si="7"/>
        <v>Fläche pro Bett</v>
      </c>
      <c r="Q56" s="415">
        <f>Kriterien!U59</f>
        <v>0</v>
      </c>
      <c r="R56" s="416">
        <f>Kriterien!V59</f>
        <v>0</v>
      </c>
      <c r="S56" s="412" t="str">
        <f t="shared" si="8"/>
        <v/>
      </c>
      <c r="U56" s="799"/>
      <c r="V56" s="2041"/>
    </row>
    <row r="57" spans="1:22" s="21" customFormat="1" ht="37">
      <c r="A57" s="527"/>
      <c r="B57" s="433"/>
      <c r="C57" s="42" t="s">
        <v>191</v>
      </c>
      <c r="D57" s="5" t="str">
        <f t="shared" si="9"/>
        <v>Die Hauptnutzfläche (SIA 416) pro Bett beträgt mindestens 16 m2. Diese Fläche umfasst das Bett und seine unmittelbare Umgebung im Patientenzimmer.</v>
      </c>
      <c r="E57" s="5" t="str">
        <f t="shared" si="10"/>
        <v>Pläne, Visitation</v>
      </c>
      <c r="F57" s="162"/>
      <c r="J57" s="2041"/>
      <c r="K57" s="799"/>
      <c r="N57" s="415" t="str">
        <f>Kriterien!R60</f>
        <v>Die Hauptnutzfläche (SIA 416) pro Bett beträgt mindestens 16 m2. Diese Fläche umfasst das Bett und seine unmittelbare Umgebung im Patientenzimmer.</v>
      </c>
      <c r="O57" s="428" t="str">
        <f>Kriterien!S60</f>
        <v>La surface utile principale (SIA 416) dévolue à chaque lit est d'au moins 16 m2. Cette surface englobe le lit et son environnement direct dans la chambre de patient.</v>
      </c>
      <c r="P57" s="412" t="str">
        <f t="shared" si="7"/>
        <v>Die Hauptnutzfläche (SIA 416) pro Bett beträgt mindestens 16 m2. Diese Fläche umfasst das Bett und seine unmittelbare Umgebung im Patientenzimmer.</v>
      </c>
      <c r="Q57" s="415" t="str">
        <f>Kriterien!U60</f>
        <v>Pläne, Visitation</v>
      </c>
      <c r="R57" s="416" t="str">
        <f>Kriterien!V60</f>
        <v>Plans, visite</v>
      </c>
      <c r="S57" s="412" t="str">
        <f t="shared" si="8"/>
        <v>Pläne, Visitation</v>
      </c>
      <c r="U57" s="799"/>
      <c r="V57" s="2041"/>
    </row>
    <row r="58" spans="1:22" s="21" customFormat="1" ht="18">
      <c r="A58" s="527"/>
      <c r="B58" s="433"/>
      <c r="C58" s="42" t="s">
        <v>192</v>
      </c>
      <c r="D58" s="115" t="str">
        <f t="shared" si="9"/>
        <v>Die Distanz zwischen den Betten beträgt minimal 2 Meter.</v>
      </c>
      <c r="E58" s="10" t="str">
        <f t="shared" si="10"/>
        <v>Pläne, Visitation</v>
      </c>
      <c r="F58" s="162"/>
      <c r="J58" s="2041"/>
      <c r="K58" s="799"/>
      <c r="N58" s="415" t="str">
        <f>Kriterien!R61</f>
        <v>Die Distanz zwischen den Betten beträgt minimal 2 Meter.</v>
      </c>
      <c r="O58" s="428" t="str">
        <f>Kriterien!S61</f>
        <v xml:space="preserve">La distance entre les lits est d'au moins 2 mètres. </v>
      </c>
      <c r="P58" s="412" t="str">
        <f t="shared" si="7"/>
        <v>Die Distanz zwischen den Betten beträgt minimal 2 Meter.</v>
      </c>
      <c r="Q58" s="415" t="str">
        <f>Kriterien!U61</f>
        <v>Pläne, Visitation</v>
      </c>
      <c r="R58" s="416" t="str">
        <f>Kriterien!V61</f>
        <v>Plans, visite</v>
      </c>
      <c r="S58" s="412" t="str">
        <f t="shared" si="8"/>
        <v>Pläne, Visitation</v>
      </c>
      <c r="U58" s="799"/>
      <c r="V58" s="2041"/>
    </row>
    <row r="59" spans="1:22" s="21" customFormat="1" ht="18">
      <c r="A59" s="527"/>
      <c r="B59" s="433"/>
      <c r="C59" s="42" t="s">
        <v>193</v>
      </c>
      <c r="D59" s="5" t="str">
        <f t="shared" si="9"/>
        <v>Die Wandlänge am Kopfende bei jedem Bett beträgt minimal 3 Meter.</v>
      </c>
      <c r="E59" s="10" t="str">
        <f t="shared" si="10"/>
        <v>Pläne, Visitation</v>
      </c>
      <c r="F59" s="162"/>
      <c r="J59" s="2041"/>
      <c r="K59" s="799"/>
      <c r="N59" s="415" t="str">
        <f>Kriterien!R62</f>
        <v>Die Wandlänge am Kopfende bei jedem Bett beträgt minimal 3 Meter.</v>
      </c>
      <c r="O59" s="428" t="str">
        <f>Kriterien!S62</f>
        <v>Chaque lit dispose d'une longueur de paroi au niveau de la tête d'au moins 3 mètres.</v>
      </c>
      <c r="P59" s="412" t="str">
        <f t="shared" si="7"/>
        <v>Die Wandlänge am Kopfende bei jedem Bett beträgt minimal 3 Meter.</v>
      </c>
      <c r="Q59" s="415" t="str">
        <f>Kriterien!U62</f>
        <v>Pläne, Visitation</v>
      </c>
      <c r="R59" s="416" t="str">
        <f>Kriterien!V62</f>
        <v>Plans, visite</v>
      </c>
      <c r="S59" s="412" t="str">
        <f t="shared" si="8"/>
        <v>Pläne, Visitation</v>
      </c>
      <c r="U59" s="799"/>
      <c r="V59" s="2041"/>
    </row>
    <row r="60" spans="1:22" s="21" customFormat="1" ht="18">
      <c r="A60" s="526"/>
      <c r="B60" s="433"/>
      <c r="C60" s="50" t="s">
        <v>33</v>
      </c>
      <c r="D60" s="53" t="str">
        <f t="shared" si="9"/>
        <v>Gesamtnutzfläche der IS</v>
      </c>
      <c r="E60" s="11" t="str">
        <f t="shared" si="10"/>
        <v/>
      </c>
      <c r="F60" s="162"/>
      <c r="J60" s="2041"/>
      <c r="K60"/>
      <c r="N60" s="415" t="str">
        <f>Kriterien!R63</f>
        <v>Gesamtnutzfläche der IS</v>
      </c>
      <c r="O60" s="428" t="str">
        <f>Kriterien!S63</f>
        <v>Surface utile totale de l'USI</v>
      </c>
      <c r="P60" s="412" t="str">
        <f t="shared" si="7"/>
        <v>Gesamtnutzfläche der IS</v>
      </c>
      <c r="Q60" s="415">
        <f>Kriterien!U63</f>
        <v>0</v>
      </c>
      <c r="R60" s="416">
        <f>Kriterien!V63</f>
        <v>0</v>
      </c>
      <c r="S60" s="412" t="str">
        <f t="shared" si="8"/>
        <v/>
      </c>
      <c r="U60"/>
      <c r="V60" s="2041"/>
    </row>
    <row r="61" spans="1:22" s="21" customFormat="1" ht="40.5" customHeight="1">
      <c r="A61" s="532"/>
      <c r="B61" s="1885"/>
      <c r="C61" s="1886" t="s">
        <v>194</v>
      </c>
      <c r="D61" s="1874" t="str">
        <f t="shared" si="9"/>
        <v>Die Gesamtnutzfläche, bestehend aus Haupt- und Nebennutzflächen (SIA 416),  beträgt mindestens 40 m2 pro zertifiziertem Bett.</v>
      </c>
      <c r="E61" s="1875" t="str">
        <f t="shared" si="10"/>
        <v>Pläne, Dokumentation</v>
      </c>
      <c r="F61" s="1887"/>
      <c r="J61" s="2041"/>
      <c r="K61"/>
      <c r="N61" s="415" t="str">
        <f>Kriterien!R64</f>
        <v>Die Gesamtnutzfläche, bestehend aus Haupt- und Nebennutzflächen (SIA 416),  beträgt mindestens 40 m2 pro zertifiziertem Bett.</v>
      </c>
      <c r="O61" s="428" t="str">
        <f>Kriterien!S64</f>
        <v>La surface utile totale, composée de la surface utile principale et secondaire (SIA 416), s'élève à au moins 40 m2 par lit certifié.</v>
      </c>
      <c r="P61" s="412" t="str">
        <f t="shared" si="7"/>
        <v>Die Gesamtnutzfläche, bestehend aus Haupt- und Nebennutzflächen (SIA 416),  beträgt mindestens 40 m2 pro zertifiziertem Bett.</v>
      </c>
      <c r="Q61" s="415" t="str">
        <f>Kriterien!U64</f>
        <v>Pläne, Dokumentation</v>
      </c>
      <c r="R61" s="416" t="str">
        <f>Kriterien!V64</f>
        <v>Plans, documentation</v>
      </c>
      <c r="S61" s="412" t="str">
        <f t="shared" si="8"/>
        <v>Pläne, Dokumentation</v>
      </c>
      <c r="U61"/>
      <c r="V61" s="2041"/>
    </row>
    <row r="62" spans="1:22" s="179" customFormat="1" ht="106.5" customHeight="1">
      <c r="A62" s="1888"/>
      <c r="B62" s="1889"/>
      <c r="C62" s="1890"/>
      <c r="D62" s="1891" t="str">
        <f t="shared" si="9"/>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E62" s="1879"/>
      <c r="F62" s="1892"/>
      <c r="J62" s="2041"/>
      <c r="K62" s="799"/>
      <c r="N62" s="417" t="str">
        <f>Kriterien!R65</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O62" s="429" t="str">
        <f>Kriterien!S65</f>
        <v>La surface utile principale comprend les chambres de patients, les centrales et les postes de travail en dehors des chambres pour la prise en charge directe des patients (médecins et soignants). 
La surface utile secondaire comprend tous les locaux situés à l'intérieur de l'USI. Exceptionellement, des locaux  situés à l'extérieur de l'USI peuvent être inclus dans la surface utile secondaire (p.ex. bureaux, salle de séjour, salles d'entretien ou d'attente pour les proches).
Ne sont PAS compris dans la surface utile de l’USI  les zones de circulation (SIA 416) utilisées pour accéder au périmètre de l’USI (escaliers, halls d'entrée, cages d'ascenseur) ou les zones fonctionnelles (SIA 416) telles que les locaux techniques du bâtiment, salles des machines, puits d'alimentation et d'évacuation ou zones grimpantes, même si elles sont situées dans le périmètre de l'USI.</v>
      </c>
      <c r="P62" s="419" t="str">
        <f t="shared" ref="P62" si="11">IF(N62=0,"",IF($A$1="D",N62,O62))</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Q62" s="417"/>
      <c r="R62" s="418"/>
      <c r="S62" s="419"/>
      <c r="U62" s="799"/>
      <c r="V62" s="2041"/>
    </row>
    <row r="63" spans="1:22" s="21" customFormat="1" ht="18">
      <c r="A63" s="526"/>
      <c r="B63" s="433"/>
      <c r="C63" s="50" t="s">
        <v>34</v>
      </c>
      <c r="D63" s="53" t="str">
        <f t="shared" si="9"/>
        <v>Einzelzimmer</v>
      </c>
      <c r="E63" s="32" t="str">
        <f t="shared" si="10"/>
        <v/>
      </c>
      <c r="F63" s="162"/>
      <c r="J63" s="2041"/>
      <c r="K63" s="799"/>
      <c r="N63" s="415" t="str">
        <f>Kriterien!R66</f>
        <v>Einzelzimmer</v>
      </c>
      <c r="O63" s="428" t="str">
        <f>Kriterien!S66</f>
        <v>Chambre individuelle</v>
      </c>
      <c r="P63" s="412" t="str">
        <f t="shared" si="7"/>
        <v>Einzelzimmer</v>
      </c>
      <c r="Q63" s="415">
        <f>Kriterien!U66</f>
        <v>0</v>
      </c>
      <c r="R63" s="416">
        <f>Kriterien!V66</f>
        <v>0</v>
      </c>
      <c r="S63" s="412" t="str">
        <f t="shared" si="8"/>
        <v/>
      </c>
      <c r="U63" s="799"/>
      <c r="V63" s="2041"/>
    </row>
    <row r="64" spans="1:22" s="21" customFormat="1" ht="28">
      <c r="A64" s="527"/>
      <c r="B64" s="433"/>
      <c r="C64" s="42" t="s">
        <v>296</v>
      </c>
      <c r="D64" s="10" t="str">
        <f t="shared" si="9"/>
        <v>Für ein IS-Einzelzimmer beträgt die minimale Hauptnutzfläche (SIA 416) 20 m2, eine eventuelle Schleuse nicht mitgerechnet.</v>
      </c>
      <c r="E64" s="33" t="str">
        <f t="shared" si="10"/>
        <v/>
      </c>
      <c r="F64" s="162"/>
      <c r="J64" s="2041"/>
      <c r="K64" s="799"/>
      <c r="N64" s="415" t="str">
        <f>Kriterien!R67</f>
        <v>Für ein IS-Einzelzimmer beträgt die minimale Hauptnutzfläche (SIA 416) 20 m2, eine eventuelle Schleuse nicht mitgerechnet.</v>
      </c>
      <c r="O64" s="428" t="str">
        <f>Kriterien!S67</f>
        <v>Pour une chambre individuelle, la surface utile principale (SIA 426)  est d'au moins 20 m2, un éventuel SAS n'étant pas compris dans ce chiffre.</v>
      </c>
      <c r="P64" s="412" t="str">
        <f t="shared" si="7"/>
        <v>Für ein IS-Einzelzimmer beträgt die minimale Hauptnutzfläche (SIA 416) 20 m2, eine eventuelle Schleuse nicht mitgerechnet.</v>
      </c>
      <c r="Q64" s="415">
        <f>Kriterien!U67</f>
        <v>0</v>
      </c>
      <c r="R64" s="416">
        <f>Kriterien!V67</f>
        <v>0</v>
      </c>
      <c r="S64" s="412" t="str">
        <f t="shared" si="8"/>
        <v/>
      </c>
      <c r="U64" s="799"/>
      <c r="V64" s="2041"/>
    </row>
    <row r="65" spans="1:22" s="21" customFormat="1" ht="18">
      <c r="A65" s="526"/>
      <c r="B65" s="433"/>
      <c r="C65" s="40">
        <v>2.4</v>
      </c>
      <c r="D65" s="9" t="str">
        <f t="shared" si="9"/>
        <v>Gebäudeinstallation und Brandschutz</v>
      </c>
      <c r="E65" s="32" t="str">
        <f t="shared" si="10"/>
        <v/>
      </c>
      <c r="F65" s="162"/>
      <c r="J65" s="2041"/>
      <c r="K65" s="799"/>
      <c r="N65" s="415" t="str">
        <f>Kriterien!R68</f>
        <v>Gebäudeinstallation und Brandschutz</v>
      </c>
      <c r="O65" s="428" t="str">
        <f>Kriterien!S68</f>
        <v>Installations domotiques et protection contre l'incendie</v>
      </c>
      <c r="P65" s="412" t="str">
        <f t="shared" si="7"/>
        <v>Gebäudeinstallation und Brandschutz</v>
      </c>
      <c r="Q65" s="415">
        <f>Kriterien!U68</f>
        <v>0</v>
      </c>
      <c r="R65" s="416">
        <f>Kriterien!V68</f>
        <v>0</v>
      </c>
      <c r="S65" s="412" t="str">
        <f t="shared" si="8"/>
        <v/>
      </c>
      <c r="U65" s="799"/>
      <c r="V65" s="2041"/>
    </row>
    <row r="66" spans="1:22" s="21" customFormat="1" ht="93.75" customHeight="1">
      <c r="A66" s="526"/>
      <c r="B66" s="300"/>
      <c r="C66" s="50" t="s">
        <v>195</v>
      </c>
      <c r="D66" s="12" t="str">
        <f t="shared" si="9"/>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E66" s="32" t="str">
        <f t="shared" si="10"/>
        <v/>
      </c>
      <c r="F66" s="162"/>
      <c r="J66" s="2041"/>
      <c r="K66" s="799"/>
      <c r="N66" s="415" t="str">
        <f>Kriterien!R69</f>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O66" s="428" t="str">
        <f>Kriterien!S69</f>
        <v>Les normes et directives suivantes doivent être respectées :
• normes d’installation à basse tension (NIBT) de l’organisation Electrosuisse
•  directives de l’Association suisse pour l’éclairage 
• directives de la Société suisse des ingénieurs en technique du bâtiment (SICC)
• prescriptions cantonales en matière de construction
• dispositions sur la protection contre les incendies de l’Association des établissements cantonaux d'assurance incendie (AEAI)</v>
      </c>
      <c r="P66" s="412" t="str">
        <f t="shared" si="7"/>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Q66" s="415">
        <f>Kriterien!U69</f>
        <v>0</v>
      </c>
      <c r="R66" s="416">
        <f>Kriterien!V69</f>
        <v>0</v>
      </c>
      <c r="S66" s="412" t="str">
        <f t="shared" si="8"/>
        <v/>
      </c>
      <c r="U66" s="799"/>
      <c r="V66" s="2041"/>
    </row>
    <row r="67" spans="1:22" s="21" customFormat="1" ht="49">
      <c r="A67" s="527"/>
      <c r="B67" s="433"/>
      <c r="C67" s="50" t="s">
        <v>196</v>
      </c>
      <c r="D67" s="7" t="str">
        <f t="shared" si="9"/>
        <v>Die Leitung der IS legt ein unterzeichnetes Dokument der zuständigen Spitalstellen vor, worin das Einhalten der obigen Normen und Richtlinien in der Version zum Zeitpunkt des Baus bzw. des Umbaus bestätigt wird.</v>
      </c>
      <c r="E67" s="6" t="str">
        <f t="shared" si="10"/>
        <v>Dokument, Visitation</v>
      </c>
      <c r="F67" s="162"/>
      <c r="J67" s="2041"/>
      <c r="K67" s="799"/>
      <c r="N67" s="415" t="str">
        <f>Kriterien!R70</f>
        <v>Die Leitung der IS legt ein unterzeichnetes Dokument der zuständigen Spitalstellen vor, worin das Einhalten der obigen Normen und Richtlinien in der Version zum Zeitpunkt des Baus bzw. des Umbaus bestätigt wird.</v>
      </c>
      <c r="O67" s="428" t="str">
        <f>Kriterien!S70</f>
        <v>Le responsable de l’USI présente un document signé des services hospitaliers compétents, confirmant que les normes et directives énumérées ci-dessus ont été respectées dans la version en vigueur au moment de la construction ou de la transformation du bâtiment.</v>
      </c>
      <c r="P67" s="412" t="str">
        <f t="shared" si="7"/>
        <v>Die Leitung der IS legt ein unterzeichnetes Dokument der zuständigen Spitalstellen vor, worin das Einhalten der obigen Normen und Richtlinien in der Version zum Zeitpunkt des Baus bzw. des Umbaus bestätigt wird.</v>
      </c>
      <c r="Q67" s="415" t="str">
        <f>Kriterien!U70</f>
        <v>Dokument, Visitation</v>
      </c>
      <c r="R67" s="416" t="str">
        <f>Kriterien!V70</f>
        <v>Document, visite</v>
      </c>
      <c r="S67" s="412" t="str">
        <f t="shared" si="8"/>
        <v>Dokument, Visitation</v>
      </c>
      <c r="U67" s="799"/>
      <c r="V67" s="2041"/>
    </row>
    <row r="68" spans="1:22" s="21" customFormat="1" ht="25">
      <c r="A68" s="527"/>
      <c r="B68" s="433"/>
      <c r="C68" s="50" t="s">
        <v>197</v>
      </c>
      <c r="D68" s="7" t="str">
        <f t="shared" si="9"/>
        <v>Für Patientenzimmer gilt die Einteilung in Gruppe 2 gemäss NIN-Normen.</v>
      </c>
      <c r="E68" s="6" t="str">
        <f t="shared" si="10"/>
        <v>Dokument, Visitation</v>
      </c>
      <c r="F68" s="162"/>
      <c r="J68" s="2041"/>
      <c r="K68" s="799"/>
      <c r="N68" s="415" t="str">
        <f>Kriterien!R71</f>
        <v>Für Patientenzimmer gilt die Einteilung in Gruppe 2 gemäss NIN-Normen.</v>
      </c>
      <c r="O68" s="428" t="str">
        <f>Kriterien!S71</f>
        <v>Les chambres de malades font partie des locaux groupe 2 conformément aux normes NIBT.</v>
      </c>
      <c r="P68" s="412" t="str">
        <f t="shared" si="7"/>
        <v>Für Patientenzimmer gilt die Einteilung in Gruppe 2 gemäss NIN-Normen.</v>
      </c>
      <c r="Q68" s="415" t="str">
        <f>Kriterien!U71</f>
        <v>Dokument, Visitation</v>
      </c>
      <c r="R68" s="416" t="str">
        <f>Kriterien!V71</f>
        <v>Document, visite</v>
      </c>
      <c r="S68" s="412" t="str">
        <f t="shared" si="8"/>
        <v>Dokument, Visitation</v>
      </c>
      <c r="U68" s="799"/>
      <c r="V68" s="2041"/>
    </row>
    <row r="69" spans="1:22" s="21" customFormat="1" ht="37">
      <c r="A69" s="527"/>
      <c r="B69" s="433"/>
      <c r="C69" s="50" t="s">
        <v>198</v>
      </c>
      <c r="D69" s="7" t="str">
        <f t="shared" si="9"/>
        <v>In Patientenzimmern ist mindestens der Wärme- und Klima-Standard für Räume mit erhöhten hygienischen Ansprüchen gemäss SWKI Richtlinien umgesetzt.</v>
      </c>
      <c r="E69" s="6" t="str">
        <f t="shared" si="10"/>
        <v>Dokument, Visitation</v>
      </c>
      <c r="F69" s="162"/>
      <c r="J69" s="2041"/>
      <c r="K69" s="799"/>
      <c r="N69" s="415" t="str">
        <f>Kriterien!R72</f>
        <v>In Patientenzimmern ist mindestens der Wärme- und Klima-Standard für Räume mit erhöhten hygienischen Ansprüchen gemäss SWKI Richtlinien umgesetzt.</v>
      </c>
      <c r="O69" s="428" t="str">
        <f>Kriterien!S72</f>
        <v>Les chambres de malades répondent au moins aux normes de chauffage et climatisation qui s'appliquent aux pièces soumises à des exigences hygiéniques élevées, conformément aux directives de la SICC.</v>
      </c>
      <c r="P69" s="412" t="str">
        <f t="shared" si="7"/>
        <v>In Patientenzimmern ist mindestens der Wärme- und Klima-Standard für Räume mit erhöhten hygienischen Ansprüchen gemäss SWKI Richtlinien umgesetzt.</v>
      </c>
      <c r="Q69" s="415" t="str">
        <f>Kriterien!U72</f>
        <v>Dokument, Visitation</v>
      </c>
      <c r="R69" s="416" t="str">
        <f>Kriterien!V72</f>
        <v>Document, visite</v>
      </c>
      <c r="S69" s="412" t="str">
        <f t="shared" si="8"/>
        <v>Dokument, Visitation</v>
      </c>
      <c r="U69" s="799"/>
      <c r="V69" s="2041"/>
    </row>
    <row r="70" spans="1:22" s="21" customFormat="1" ht="18">
      <c r="A70" s="526"/>
      <c r="B70" s="433"/>
      <c r="C70" s="40">
        <v>2.5</v>
      </c>
      <c r="D70" s="9" t="str">
        <f t="shared" si="9"/>
        <v>Räumlichkeiten und Einrichtungen</v>
      </c>
      <c r="E70" s="32" t="str">
        <f t="shared" si="10"/>
        <v/>
      </c>
      <c r="F70" s="162"/>
      <c r="J70" s="2041"/>
      <c r="K70" s="799"/>
      <c r="N70" s="415" t="str">
        <f>Kriterien!R73</f>
        <v>Räumlichkeiten und Einrichtungen</v>
      </c>
      <c r="O70" s="428" t="str">
        <f>Kriterien!S73</f>
        <v>Locaux et équipements</v>
      </c>
      <c r="P70" s="412" t="str">
        <f t="shared" si="7"/>
        <v>Räumlichkeiten und Einrichtungen</v>
      </c>
      <c r="Q70" s="415">
        <f>Kriterien!U73</f>
        <v>0</v>
      </c>
      <c r="R70" s="416">
        <f>Kriterien!V73</f>
        <v>0</v>
      </c>
      <c r="S70" s="412" t="str">
        <f t="shared" si="8"/>
        <v/>
      </c>
      <c r="U70" s="799"/>
      <c r="V70" s="2041"/>
    </row>
    <row r="71" spans="1:22" s="21" customFormat="1" ht="18">
      <c r="A71" s="526"/>
      <c r="B71" s="433"/>
      <c r="C71" s="50" t="s">
        <v>45</v>
      </c>
      <c r="D71" s="53" t="str">
        <f t="shared" si="9"/>
        <v>Patientenzimmer</v>
      </c>
      <c r="E71" s="32" t="str">
        <f t="shared" si="10"/>
        <v/>
      </c>
      <c r="F71" s="162"/>
      <c r="J71" s="2041"/>
      <c r="K71" s="799"/>
      <c r="N71" s="415" t="str">
        <f>Kriterien!R74</f>
        <v>Patientenzimmer</v>
      </c>
      <c r="O71" s="428" t="str">
        <f>Kriterien!S74</f>
        <v>Chambre de patient</v>
      </c>
      <c r="P71" s="412" t="str">
        <f t="shared" si="7"/>
        <v>Patientenzimmer</v>
      </c>
      <c r="Q71" s="415">
        <f>Kriterien!U74</f>
        <v>0</v>
      </c>
      <c r="R71" s="416">
        <f>Kriterien!V74</f>
        <v>0</v>
      </c>
      <c r="S71" s="412" t="str">
        <f t="shared" si="8"/>
        <v/>
      </c>
      <c r="U71" s="799"/>
      <c r="V71" s="2041"/>
    </row>
    <row r="72" spans="1:22" s="21" customFormat="1" ht="18">
      <c r="A72" s="526"/>
      <c r="B72" s="300"/>
      <c r="C72" s="42" t="s">
        <v>199</v>
      </c>
      <c r="D72" s="115" t="str">
        <f t="shared" si="9"/>
        <v>In jedem Zimmer ist eine Wanduhr installiert.</v>
      </c>
      <c r="E72" s="6" t="str">
        <f t="shared" si="10"/>
        <v>Visitation</v>
      </c>
      <c r="F72" s="162"/>
      <c r="J72" s="2041"/>
      <c r="K72" s="868"/>
      <c r="N72" s="415" t="str">
        <f>Kriterien!R75</f>
        <v>In jedem Zimmer ist eine Wanduhr installiert.</v>
      </c>
      <c r="O72" s="428" t="str">
        <f>Kriterien!S75</f>
        <v>Chaque chambre dispose d'une horloge murale.</v>
      </c>
      <c r="P72" s="412" t="str">
        <f t="shared" si="7"/>
        <v>In jedem Zimmer ist eine Wanduhr installiert.</v>
      </c>
      <c r="Q72" s="415" t="str">
        <f>Kriterien!U75</f>
        <v>Visitation</v>
      </c>
      <c r="R72" s="416" t="str">
        <f>Kriterien!V75</f>
        <v>Visite</v>
      </c>
      <c r="S72" s="412" t="str">
        <f t="shared" si="8"/>
        <v>Visitation</v>
      </c>
      <c r="U72" s="868"/>
      <c r="V72" s="2041"/>
    </row>
    <row r="73" spans="1:22" s="21" customFormat="1" ht="49">
      <c r="A73" s="526"/>
      <c r="B73" s="300"/>
      <c r="C73" s="42" t="s">
        <v>200</v>
      </c>
      <c r="D73" s="115" t="str">
        <f t="shared" si="9"/>
        <v>Zur Verbesserung der Überwachung muss der obere Teil der Türen und der Trennwände verglast sein. Integrierte Storen oder andere wirksame Sichtschutzmassnahmen verhindern unerwünschte optische Störungen.</v>
      </c>
      <c r="E73" s="6" t="str">
        <f t="shared" si="10"/>
        <v>Visitation</v>
      </c>
      <c r="F73" s="162"/>
      <c r="J73" s="2041"/>
      <c r="K73"/>
      <c r="N73" s="415" t="str">
        <f>Kriterien!R76</f>
        <v>Zur Verbesserung der Überwachung muss der obere Teil der Türen und der Trennwände verglast sein. Integrierte Storen oder andere wirksame Sichtschutzmassnahmen verhindern unerwünschte optische Störungen.</v>
      </c>
      <c r="O73" s="428" t="str">
        <f>Kriterien!S76</f>
        <v>Pour faciliter la surveillance du patient, la partie supérieure des portes et des cloisons doit être pourvue de baies vitrées. Un store intégré ou tout autre système pare-vue permet d'atténuer les nuisances lumineuses.</v>
      </c>
      <c r="P73" s="412" t="str">
        <f t="shared" si="7"/>
        <v>Zur Verbesserung der Überwachung muss der obere Teil der Türen und der Trennwände verglast sein. Integrierte Storen oder andere wirksame Sichtschutzmassnahmen verhindern unerwünschte optische Störungen.</v>
      </c>
      <c r="Q73" s="415" t="str">
        <f>Kriterien!U76</f>
        <v>Visitation</v>
      </c>
      <c r="R73" s="416" t="str">
        <f>Kriterien!V76</f>
        <v>Visite</v>
      </c>
      <c r="S73" s="412" t="str">
        <f t="shared" si="8"/>
        <v>Visitation</v>
      </c>
      <c r="U73"/>
      <c r="V73" s="2041"/>
    </row>
    <row r="74" spans="1:22" s="21" customFormat="1" ht="28">
      <c r="A74" s="526"/>
      <c r="B74" s="300"/>
      <c r="C74" s="42" t="s">
        <v>201</v>
      </c>
      <c r="D74" s="115" t="str">
        <f t="shared" si="9"/>
        <v xml:space="preserve">Jedes Zimmer soll einen Blick nach aussen ermöglichen, um den Patienten die räumliche Orientierung zu erleichtern. </v>
      </c>
      <c r="E74" s="32" t="str">
        <f t="shared" si="10"/>
        <v/>
      </c>
      <c r="F74" s="162"/>
      <c r="J74" s="2041"/>
      <c r="K74"/>
      <c r="N74" s="415" t="str">
        <f>Kriterien!R77</f>
        <v xml:space="preserve">Jedes Zimmer soll einen Blick nach aussen ermöglichen, um den Patienten die räumliche Orientierung zu erleichtern. </v>
      </c>
      <c r="O74" s="428" t="str">
        <f>Kriterien!S77</f>
        <v xml:space="preserve">Chaque chambre doit être pourvue d'une ouverture vers l'extérieur dans le but de favoriser l'orientation spatiale du patient. </v>
      </c>
      <c r="P74" s="412" t="str">
        <f t="shared" si="7"/>
        <v xml:space="preserve">Jedes Zimmer soll einen Blick nach aussen ermöglichen, um den Patienten die räumliche Orientierung zu erleichtern. </v>
      </c>
      <c r="Q74" s="415">
        <f>Kriterien!U77</f>
        <v>0</v>
      </c>
      <c r="R74" s="416">
        <f>Kriterien!V77</f>
        <v>0</v>
      </c>
      <c r="S74" s="412" t="str">
        <f t="shared" si="8"/>
        <v/>
      </c>
      <c r="U74"/>
      <c r="V74" s="2041"/>
    </row>
    <row r="75" spans="1:22" s="21" customFormat="1" ht="37">
      <c r="A75" s="527"/>
      <c r="B75" s="433"/>
      <c r="C75" s="42" t="s">
        <v>202</v>
      </c>
      <c r="D75" s="5" t="str">
        <f t="shared" si="9"/>
        <v>Für jeden Bettenplatz ist ein zugehöriges Lavabo definiert. Das Lavabo muss nicht im Zimmer sein. Ein Lavabo kann mehrere Bettenplätze versorgen.</v>
      </c>
      <c r="E75" s="6" t="str">
        <f t="shared" si="10"/>
        <v>Visitation</v>
      </c>
      <c r="F75" s="162"/>
      <c r="J75" s="2041"/>
      <c r="K75"/>
      <c r="N75" s="415" t="str">
        <f>Kriterien!R78</f>
        <v>Für jeden Bettenplatz ist ein zugehöriges Lavabo definiert. Das Lavabo muss nicht im Zimmer sein. Ein Lavabo kann mehrere Bettenplätze versorgen.</v>
      </c>
      <c r="O75" s="428" t="str">
        <f>Kriterien!S78</f>
        <v xml:space="preserve">Pour chaque lit, l’accès à un lavabo est défini. Ce lavabo n’a pas besoin d‘être localisé dans la chambre. Un lavabo peut desservir plusieurs lits.hambre dispose d'un lavabo. </v>
      </c>
      <c r="P75" s="412" t="str">
        <f t="shared" si="7"/>
        <v>Für jeden Bettenplatz ist ein zugehöriges Lavabo definiert. Das Lavabo muss nicht im Zimmer sein. Ein Lavabo kann mehrere Bettenplätze versorgen.</v>
      </c>
      <c r="Q75" s="415" t="str">
        <f>Kriterien!U78</f>
        <v>Visitation</v>
      </c>
      <c r="R75" s="416" t="str">
        <f>Kriterien!V78</f>
        <v>Visite</v>
      </c>
      <c r="S75" s="412" t="str">
        <f t="shared" si="8"/>
        <v>Visitation</v>
      </c>
      <c r="U75"/>
      <c r="V75" s="2041"/>
    </row>
    <row r="76" spans="1:22" s="21" customFormat="1" ht="49">
      <c r="A76" s="526"/>
      <c r="B76" s="300"/>
      <c r="C76" s="42" t="s">
        <v>203</v>
      </c>
      <c r="D76" s="13" t="str">
        <f t="shared" si="9"/>
        <v>Die Armaturen für Kalt- und Warmwasser verfügen über Ellbogen-,  Fusspedal- oder Sensorbedienung. Seifenspender, Desinfektionsmittelspender und Ab-trocknungspapierspender müssen beim Lavabo vorhanden sein.</v>
      </c>
      <c r="E76" s="6" t="str">
        <f t="shared" si="10"/>
        <v>Visitation</v>
      </c>
      <c r="F76" s="162"/>
      <c r="J76" s="2041"/>
      <c r="K76"/>
      <c r="N76" s="415" t="str">
        <f>Kriterien!R79</f>
        <v>Die Armaturen für Kalt- und Warmwasser verfügen über Ellbogen-,  Fusspedal- oder Sensorbedienung. Seifenspender, Desinfektionsmittelspender und Ab-trocknungspapierspender müssen beim Lavabo vorhanden sein.</v>
      </c>
      <c r="O76" s="428" t="str">
        <f>Kriterien!S79</f>
        <v>Il délivre de l'eau chaude et froide à l'aide d'un mécanisme actionné par le coude ou le pied de l'utilisateur, voire d'un détecteur de mouvement. Un réservoir de savon liquide, un dispensateur de désinfectant et des essuie-mains à usage unique doivent être disponibles près du lavabo.</v>
      </c>
      <c r="P76" s="412" t="str">
        <f t="shared" si="7"/>
        <v>Die Armaturen für Kalt- und Warmwasser verfügen über Ellbogen-,  Fusspedal- oder Sensorbedienung. Seifenspender, Desinfektionsmittelspender und Ab-trocknungspapierspender müssen beim Lavabo vorhanden sein.</v>
      </c>
      <c r="Q76" s="415" t="str">
        <f>Kriterien!U79</f>
        <v>Visitation</v>
      </c>
      <c r="R76" s="416" t="str">
        <f>Kriterien!V79</f>
        <v>Visite</v>
      </c>
      <c r="S76" s="412" t="str">
        <f t="shared" si="8"/>
        <v>Visitation</v>
      </c>
      <c r="U76"/>
      <c r="V76" s="2041"/>
    </row>
    <row r="77" spans="1:22" s="21" customFormat="1" ht="37">
      <c r="A77" s="526"/>
      <c r="B77" s="300"/>
      <c r="C77" s="42" t="s">
        <v>204</v>
      </c>
      <c r="D77" s="13" t="str">
        <f t="shared" si="9"/>
        <v>Alle Patientenzimmeroberflächen sind desinfektionsfähig, schalldämmend, ab-waschbar, die Böden zusätzlich leicht befahrbar und rutschhemmend.</v>
      </c>
      <c r="E77" s="6" t="str">
        <f t="shared" si="10"/>
        <v/>
      </c>
      <c r="F77" s="162"/>
      <c r="J77" s="2041"/>
      <c r="K77"/>
      <c r="N77" s="415" t="str">
        <f>Kriterien!R80</f>
        <v>Alle Patientenzimmeroberflächen sind desinfektionsfähig, schalldämmend, ab-waschbar, die Böden zusätzlich leicht befahrbar und rutschhemmend.</v>
      </c>
      <c r="O77" s="428" t="str">
        <f>Kriterien!S80</f>
        <v>Toutes les surfaces de la chambre du patient doivent être revêtues d'un matériau facile à désinfecter, insonorisant, lavable, propice au déplacement sur roulettes et antidérapant.</v>
      </c>
      <c r="P77" s="412" t="str">
        <f t="shared" si="7"/>
        <v>Alle Patientenzimmeroberflächen sind desinfektionsfähig, schalldämmend, ab-waschbar, die Böden zusätzlich leicht befahrbar und rutschhemmend.</v>
      </c>
      <c r="Q77" s="415">
        <f>Kriterien!U80</f>
        <v>0</v>
      </c>
      <c r="R77" s="416" t="str">
        <f>Kriterien!V80</f>
        <v>Visite</v>
      </c>
      <c r="S77" s="412" t="str">
        <f t="shared" si="8"/>
        <v/>
      </c>
      <c r="U77"/>
      <c r="V77" s="2041"/>
    </row>
    <row r="78" spans="1:22" s="21" customFormat="1" ht="18">
      <c r="A78" s="527"/>
      <c r="B78" s="433"/>
      <c r="C78" s="42" t="s">
        <v>205</v>
      </c>
      <c r="D78" s="5" t="str">
        <f t="shared" si="9"/>
        <v>Warmluft- und/oder Gebläse-Händetrockner sind nicht erlaubt.</v>
      </c>
      <c r="E78" s="6" t="str">
        <f t="shared" si="10"/>
        <v>Visitation</v>
      </c>
      <c r="F78" s="162"/>
      <c r="J78" s="2041"/>
      <c r="K78"/>
      <c r="N78" s="415" t="str">
        <f>Kriterien!R81</f>
        <v>Warmluft- und/oder Gebläse-Händetrockner sind nicht erlaubt.</v>
      </c>
      <c r="O78" s="428" t="str">
        <f>Kriterien!S81</f>
        <v>L'usage de sèche-mains par air chaud et/ou soufflerie n'est pas autorisé.</v>
      </c>
      <c r="P78" s="412" t="str">
        <f t="shared" si="7"/>
        <v>Warmluft- und/oder Gebläse-Händetrockner sind nicht erlaubt.</v>
      </c>
      <c r="Q78" s="415" t="str">
        <f>Kriterien!U81</f>
        <v>Visitation</v>
      </c>
      <c r="R78" s="416" t="str">
        <f>Kriterien!V81</f>
        <v>Visite</v>
      </c>
      <c r="S78" s="412" t="str">
        <f t="shared" si="8"/>
        <v>Visitation</v>
      </c>
      <c r="U78"/>
      <c r="V78" s="2041"/>
    </row>
    <row r="79" spans="1:22" s="21" customFormat="1" ht="18">
      <c r="A79" s="526"/>
      <c r="B79" s="433"/>
      <c r="C79" s="50" t="s">
        <v>65</v>
      </c>
      <c r="D79" s="53" t="str">
        <f t="shared" si="9"/>
        <v>Überwachung des Patienten</v>
      </c>
      <c r="E79" s="32" t="str">
        <f t="shared" si="10"/>
        <v/>
      </c>
      <c r="F79" s="162"/>
      <c r="J79" s="2041"/>
      <c r="K79"/>
      <c r="N79" s="415" t="str">
        <f>Kriterien!R82</f>
        <v>Überwachung des Patienten</v>
      </c>
      <c r="O79" s="428" t="str">
        <f>Kriterien!S82</f>
        <v xml:space="preserve">Surveillance du patient </v>
      </c>
      <c r="P79" s="412" t="str">
        <f t="shared" si="7"/>
        <v>Überwachung des Patienten</v>
      </c>
      <c r="Q79" s="415">
        <f>Kriterien!U82</f>
        <v>0</v>
      </c>
      <c r="R79" s="416">
        <f>Kriterien!V82</f>
        <v>0</v>
      </c>
      <c r="S79" s="412" t="str">
        <f t="shared" si="8"/>
        <v/>
      </c>
      <c r="U79"/>
      <c r="V79" s="2041"/>
    </row>
    <row r="80" spans="1:22" s="21" customFormat="1" ht="28">
      <c r="A80" s="527"/>
      <c r="B80" s="433"/>
      <c r="C80" s="42" t="s">
        <v>206</v>
      </c>
      <c r="D80" s="5" t="str">
        <f t="shared" si="9"/>
        <v>Eine Monitor-Überwachung mit Alarmfunktion für jeden Patientenplatz muss vorhanden sein.</v>
      </c>
      <c r="E80" s="10" t="str">
        <f t="shared" si="10"/>
        <v>Visitation, Dokumentation</v>
      </c>
      <c r="F80" s="162"/>
      <c r="J80" s="2041"/>
      <c r="K80"/>
      <c r="N80" s="415" t="str">
        <f>Kriterien!R83</f>
        <v>Eine Monitor-Überwachung mit Alarmfunktion für jeden Patientenplatz muss vorhanden sein.</v>
      </c>
      <c r="O80" s="428" t="str">
        <f>Kriterien!S83</f>
        <v>Une surveillance par monitorage avec fonction d'alarme doit être disponible pour chaque patient.</v>
      </c>
      <c r="P80" s="412" t="str">
        <f t="shared" si="7"/>
        <v>Eine Monitor-Überwachung mit Alarmfunktion für jeden Patientenplatz muss vorhanden sein.</v>
      </c>
      <c r="Q80" s="415" t="str">
        <f>Kriterien!U83</f>
        <v>Visitation, Dokumentation</v>
      </c>
      <c r="R80" s="416" t="str">
        <f>Kriterien!V83</f>
        <v>Visite, documentation</v>
      </c>
      <c r="S80" s="412" t="str">
        <f t="shared" si="8"/>
        <v>Visitation, Dokumentation</v>
      </c>
      <c r="U80"/>
      <c r="V80" s="2041"/>
    </row>
    <row r="81" spans="1:22" s="21" customFormat="1" ht="18">
      <c r="A81" s="527"/>
      <c r="B81" s="433"/>
      <c r="C81" s="42" t="s">
        <v>207</v>
      </c>
      <c r="D81" s="5" t="str">
        <f t="shared" si="9"/>
        <v>Die Einzelmonitore sind in einer oder mehreren Zentralen integriert.</v>
      </c>
      <c r="E81" s="10" t="str">
        <f t="shared" si="10"/>
        <v>Visitation, Dokumentation</v>
      </c>
      <c r="F81" s="162"/>
      <c r="J81" s="2041"/>
      <c r="K81"/>
      <c r="N81" s="415" t="str">
        <f>Kriterien!R84</f>
        <v>Die Einzelmonitore sind in einer oder mehreren Zentralen integriert.</v>
      </c>
      <c r="O81" s="428" t="str">
        <f>Kriterien!S84</f>
        <v>Les moniteurs individuels sont intégrés dans un ou plusieurs postes centraux.</v>
      </c>
      <c r="P81" s="412" t="str">
        <f t="shared" si="7"/>
        <v>Die Einzelmonitore sind in einer oder mehreren Zentralen integriert.</v>
      </c>
      <c r="Q81" s="415" t="str">
        <f>Kriterien!U84</f>
        <v>Visitation, Dokumentation</v>
      </c>
      <c r="R81" s="416" t="str">
        <f>Kriterien!V84</f>
        <v>Visite, documentation</v>
      </c>
      <c r="S81" s="412" t="str">
        <f t="shared" si="8"/>
        <v>Visitation, Dokumentation</v>
      </c>
      <c r="U81"/>
      <c r="V81" s="2041"/>
    </row>
    <row r="82" spans="1:22" s="21" customFormat="1" ht="25">
      <c r="A82" s="526"/>
      <c r="B82" s="300"/>
      <c r="C82" s="42" t="s">
        <v>208</v>
      </c>
      <c r="D82" s="5" t="str">
        <f t="shared" si="9"/>
        <v>Es besteht ein Data-Backup- und ein Alarmaufzeichnungssystem der Monitordaten.</v>
      </c>
      <c r="E82" s="10" t="str">
        <f t="shared" si="10"/>
        <v>Visitation, Dokumentation</v>
      </c>
      <c r="F82" s="162"/>
      <c r="J82" s="2041"/>
      <c r="K82"/>
      <c r="N82" s="415" t="str">
        <f>Kriterien!R85</f>
        <v>Es besteht ein Data-Backup- und ein Alarmaufzeichnungssystem der Monitordaten.</v>
      </c>
      <c r="O82" s="428" t="str">
        <f>Kriterien!S85</f>
        <v>Il existe un système qui enregistre les alarmes et sauvegarde les données de monitorage.</v>
      </c>
      <c r="P82" s="412" t="str">
        <f t="shared" si="7"/>
        <v>Es besteht ein Data-Backup- und ein Alarmaufzeichnungssystem der Monitordaten.</v>
      </c>
      <c r="Q82" s="415" t="str">
        <f>Kriterien!U85</f>
        <v>Visitation, Dokumentation</v>
      </c>
      <c r="R82" s="416" t="str">
        <f>Kriterien!V85</f>
        <v>Visite, documentation</v>
      </c>
      <c r="S82" s="412" t="str">
        <f t="shared" si="8"/>
        <v>Visitation, Dokumentation</v>
      </c>
      <c r="U82"/>
      <c r="V82" s="2041"/>
    </row>
    <row r="83" spans="1:22" s="21" customFormat="1" ht="25">
      <c r="A83" s="527"/>
      <c r="B83" s="433"/>
      <c r="C83" s="42" t="s">
        <v>209</v>
      </c>
      <c r="D83" s="5" t="str">
        <f t="shared" si="9"/>
        <v xml:space="preserve">Das Personal muss sicherstellen, dass jederzeit Sichtkontakt zu den Patienten besteht. </v>
      </c>
      <c r="E83" s="10" t="str">
        <f t="shared" si="10"/>
        <v>Visitation</v>
      </c>
      <c r="F83" s="162"/>
      <c r="J83" s="2041"/>
      <c r="K83"/>
      <c r="N83" s="415" t="str">
        <f>Kriterien!R86</f>
        <v xml:space="preserve">Das Personal muss sicherstellen, dass jederzeit Sichtkontakt zu den Patienten besteht. </v>
      </c>
      <c r="O83" s="428" t="str">
        <f>Kriterien!S86</f>
        <v xml:space="preserve">Le personnel doit s'assurer que le contact visuel avec le patient est garanti en permanence. </v>
      </c>
      <c r="P83" s="412" t="str">
        <f t="shared" si="7"/>
        <v xml:space="preserve">Das Personal muss sicherstellen, dass jederzeit Sichtkontakt zu den Patienten besteht. </v>
      </c>
      <c r="Q83" s="415" t="str">
        <f>Kriterien!U86</f>
        <v>Visitation</v>
      </c>
      <c r="R83" s="416" t="str">
        <f>Kriterien!V86</f>
        <v>Visite</v>
      </c>
      <c r="S83" s="412" t="str">
        <f t="shared" si="8"/>
        <v>Visitation</v>
      </c>
      <c r="U83"/>
      <c r="V83" s="2041"/>
    </row>
    <row r="84" spans="1:22" s="21" customFormat="1" ht="49">
      <c r="A84" s="526"/>
      <c r="B84" s="300"/>
      <c r="C84" s="42" t="s">
        <v>210</v>
      </c>
      <c r="D84" s="5" t="str">
        <f t="shared" si="9"/>
        <v>Ein Dokument regelt die Anwesenheitspflicht bei den nicht einsehbaren Patienten, oder es ist eine Videoüberwachung installiert mit schriftlichen Verantwortungsregeln für die Überwachung des Bildschirms.</v>
      </c>
      <c r="E84" s="10" t="str">
        <f t="shared" si="10"/>
        <v>Visitation, Dokumentation</v>
      </c>
      <c r="F84" s="162"/>
      <c r="J84" s="2041"/>
      <c r="K84"/>
      <c r="N84" s="415" t="str">
        <f>Kriterien!R87</f>
        <v>Ein Dokument regelt die Anwesenheitspflicht bei den nicht einsehbaren Patienten, oder es ist eine Videoüberwachung installiert mit schriftlichen Verantwortungsregeln für die Überwachung des Bildschirms.</v>
      </c>
      <c r="O84" s="428" t="str">
        <f>Kriterien!S87</f>
        <v>Un document régit les obligations en matière de présence auprès des patients non visibles, ou un système de vidéosurveillance est installé et soumis à des règles écrites de responsabilité quant à la surveillance de l'écran.</v>
      </c>
      <c r="P84" s="412" t="str">
        <f t="shared" si="7"/>
        <v>Ein Dokument regelt die Anwesenheitspflicht bei den nicht einsehbaren Patienten, oder es ist eine Videoüberwachung installiert mit schriftlichen Verantwortungsregeln für die Überwachung des Bildschirms.</v>
      </c>
      <c r="Q84" s="415" t="str">
        <f>Kriterien!U87</f>
        <v>Visitation, Dokumentation</v>
      </c>
      <c r="R84" s="416" t="str">
        <f>Kriterien!V87</f>
        <v>Visite, documentation</v>
      </c>
      <c r="S84" s="412" t="str">
        <f t="shared" si="8"/>
        <v>Visitation, Dokumentation</v>
      </c>
      <c r="U84"/>
      <c r="V84" s="2041"/>
    </row>
    <row r="85" spans="1:22" s="21" customFormat="1" ht="28">
      <c r="A85" s="526"/>
      <c r="B85" s="433"/>
      <c r="C85" s="50" t="s">
        <v>66</v>
      </c>
      <c r="D85" s="53" t="str">
        <f t="shared" si="9"/>
        <v>Einrichtungen und Nebenräume (Grösse und Umfang abhängig von der Grösse der Station)</v>
      </c>
      <c r="E85" s="32" t="str">
        <f t="shared" si="10"/>
        <v/>
      </c>
      <c r="F85" s="162"/>
      <c r="J85" s="2041"/>
      <c r="K85"/>
      <c r="N85" s="415" t="str">
        <f>Kriterien!R88</f>
        <v>Einrichtungen und Nebenräume (Grösse und Umfang abhängig von der Grösse der Station)</v>
      </c>
      <c r="O85" s="428" t="str">
        <f>Kriterien!S88</f>
        <v>Équipements et locaux annexes (taille et étendue en fonction de la taille de l'Unité)</v>
      </c>
      <c r="P85" s="412" t="str">
        <f t="shared" si="7"/>
        <v>Einrichtungen und Nebenräume (Grösse und Umfang abhängig von der Grösse der Station)</v>
      </c>
      <c r="Q85" s="415">
        <f>Kriterien!U88</f>
        <v>0</v>
      </c>
      <c r="R85" s="416">
        <f>Kriterien!V88</f>
        <v>0</v>
      </c>
      <c r="S85" s="412" t="str">
        <f t="shared" si="8"/>
        <v/>
      </c>
      <c r="U85"/>
      <c r="V85" s="2041"/>
    </row>
    <row r="86" spans="1:22" s="21" customFormat="1" ht="28">
      <c r="A86" s="527"/>
      <c r="B86" s="433"/>
      <c r="C86" s="42" t="s">
        <v>211</v>
      </c>
      <c r="D86" s="5" t="str">
        <f t="shared" si="9"/>
        <v>Medikamentenaufbewahrungs- und Lagersysteme</v>
      </c>
      <c r="E86" s="6" t="str">
        <f t="shared" si="10"/>
        <v>Pläne, Dokumentation, Visitation</v>
      </c>
      <c r="F86" s="162"/>
      <c r="J86" s="2041"/>
      <c r="K86" s="510"/>
      <c r="N86" s="415" t="str">
        <f>Kriterien!R89</f>
        <v>Medikamentenaufbewahrungs- und Lagersysteme</v>
      </c>
      <c r="O86" s="428" t="str">
        <f>Kriterien!S89</f>
        <v>Systèmes d'entreposage des médicaments et stocks</v>
      </c>
      <c r="P86" s="412" t="str">
        <f t="shared" ref="P86:P149" si="12">IF(N86=0,"",IF($A$1="D",N86,O86))</f>
        <v>Medikamentenaufbewahrungs- und Lagersysteme</v>
      </c>
      <c r="Q86" s="415" t="str">
        <f>Kriterien!U89</f>
        <v>Pläne, Dokumentation, Visitation</v>
      </c>
      <c r="R86" s="416" t="str">
        <f>Kriterien!V89</f>
        <v>Plans, documentation, visite</v>
      </c>
      <c r="S86" s="412" t="str">
        <f t="shared" si="8"/>
        <v>Pläne, Dokumentation, Visitation</v>
      </c>
      <c r="U86" s="510"/>
      <c r="V86" s="2041"/>
    </row>
    <row r="87" spans="1:22" s="21" customFormat="1" ht="28">
      <c r="A87" s="527"/>
      <c r="B87" s="433"/>
      <c r="C87" s="42" t="s">
        <v>212</v>
      </c>
      <c r="D87" s="5" t="str">
        <f t="shared" si="9"/>
        <v>Kühlschränke für Medikamente und Blutprodukte</v>
      </c>
      <c r="E87" s="6" t="str">
        <f t="shared" si="10"/>
        <v>Pläne, Dokumentation, Visitation</v>
      </c>
      <c r="F87" s="162"/>
      <c r="J87" s="2041"/>
      <c r="K87"/>
      <c r="N87" s="415" t="str">
        <f>Kriterien!R90</f>
        <v>Kühlschränke für Medikamente und Blutprodukte</v>
      </c>
      <c r="O87" s="428" t="str">
        <f>Kriterien!S90</f>
        <v>Armoires frigorifiques pour les médicaments et produits sanguins</v>
      </c>
      <c r="P87" s="412" t="str">
        <f t="shared" si="12"/>
        <v>Kühlschränke für Medikamente und Blutprodukte</v>
      </c>
      <c r="Q87" s="415" t="str">
        <f>Kriterien!U90</f>
        <v>Pläne, Dokumentation, Visitation</v>
      </c>
      <c r="R87" s="416" t="str">
        <f>Kriterien!V90</f>
        <v>Plans, documentation, visite</v>
      </c>
      <c r="S87" s="412" t="str">
        <f t="shared" si="8"/>
        <v>Pläne, Dokumentation, Visitation</v>
      </c>
      <c r="U87"/>
      <c r="V87" s="2041"/>
    </row>
    <row r="88" spans="1:22" s="21" customFormat="1" ht="28">
      <c r="A88" s="527"/>
      <c r="B88" s="433"/>
      <c r="C88" s="42" t="s">
        <v>213</v>
      </c>
      <c r="D88" s="5" t="str">
        <f t="shared" si="9"/>
        <v>Infusionslager</v>
      </c>
      <c r="E88" s="6" t="str">
        <f t="shared" si="10"/>
        <v>Pläne, Dokumentation, Visitation</v>
      </c>
      <c r="F88" s="162"/>
      <c r="J88" s="2041"/>
      <c r="K88" s="799"/>
      <c r="N88" s="415" t="str">
        <f>Kriterien!R91</f>
        <v>Infusionslager</v>
      </c>
      <c r="O88" s="428" t="str">
        <f>Kriterien!S91</f>
        <v>Stock de perfusions</v>
      </c>
      <c r="P88" s="412" t="str">
        <f t="shared" si="12"/>
        <v>Infusionslager</v>
      </c>
      <c r="Q88" s="415" t="str">
        <f>Kriterien!U91</f>
        <v>Pläne, Dokumentation, Visitation</v>
      </c>
      <c r="R88" s="416" t="str">
        <f>Kriterien!V91</f>
        <v>Plans, documentation, visite</v>
      </c>
      <c r="S88" s="412" t="str">
        <f t="shared" ref="S88:S151" si="13">IF(Q88=0,"",IF($A$1="D",Q88,R88))</f>
        <v>Pläne, Dokumentation, Visitation</v>
      </c>
      <c r="U88" s="799"/>
      <c r="V88" s="2041"/>
    </row>
    <row r="89" spans="1:22" s="21" customFormat="1" ht="28">
      <c r="A89" s="527"/>
      <c r="B89" s="433"/>
      <c r="C89" s="42" t="s">
        <v>214</v>
      </c>
      <c r="D89" s="5" t="str">
        <f t="shared" si="9"/>
        <v>Vorbereitungseinrichtungen und -plätze für Medikamente, Infusionen und Perfusoren</v>
      </c>
      <c r="E89" s="6" t="str">
        <f t="shared" si="10"/>
        <v>Pläne, Dokumentation, Visitation</v>
      </c>
      <c r="F89" s="162"/>
      <c r="J89" s="2041"/>
      <c r="K89" s="799"/>
      <c r="N89" s="415" t="str">
        <f>Kriterien!R92</f>
        <v>Vorbereitungseinrichtungen und -plätze für Medikamente, Infusionen und Perfusoren</v>
      </c>
      <c r="O89" s="428" t="str">
        <f>Kriterien!S92</f>
        <v xml:space="preserve">Lieux et équipements destinés à la préparation de médicaments, pousse-seringues et perfusions </v>
      </c>
      <c r="P89" s="412" t="str">
        <f t="shared" si="12"/>
        <v>Vorbereitungseinrichtungen und -plätze für Medikamente, Infusionen und Perfusoren</v>
      </c>
      <c r="Q89" s="415" t="str">
        <f>Kriterien!U92</f>
        <v>Pläne, Dokumentation, Visitation</v>
      </c>
      <c r="R89" s="416" t="str">
        <f>Kriterien!V92</f>
        <v>Plans, documentation, visite</v>
      </c>
      <c r="S89" s="412" t="str">
        <f t="shared" si="13"/>
        <v>Pläne, Dokumentation, Visitation</v>
      </c>
      <c r="U89" s="799"/>
      <c r="V89" s="2041"/>
    </row>
    <row r="90" spans="1:22" s="21" customFormat="1" ht="28">
      <c r="A90" s="527"/>
      <c r="B90" s="433"/>
      <c r="C90" s="42" t="s">
        <v>215</v>
      </c>
      <c r="D90" s="5" t="str">
        <f t="shared" si="9"/>
        <v>Lavabos</v>
      </c>
      <c r="E90" s="6" t="str">
        <f t="shared" si="10"/>
        <v>Pläne, Dokumentation, Visitation</v>
      </c>
      <c r="F90" s="162"/>
      <c r="J90" s="2041"/>
      <c r="K90" s="799"/>
      <c r="N90" s="415" t="str">
        <f>Kriterien!R93</f>
        <v>Lavabos</v>
      </c>
      <c r="O90" s="428" t="str">
        <f>Kriterien!S93</f>
        <v>Lavabos</v>
      </c>
      <c r="P90" s="412" t="str">
        <f t="shared" si="12"/>
        <v>Lavabos</v>
      </c>
      <c r="Q90" s="415" t="str">
        <f>Kriterien!U93</f>
        <v>Pläne, Dokumentation, Visitation</v>
      </c>
      <c r="R90" s="416" t="str">
        <f>Kriterien!V93</f>
        <v>Plans, documentation, visite</v>
      </c>
      <c r="S90" s="412" t="str">
        <f t="shared" si="13"/>
        <v>Pläne, Dokumentation, Visitation</v>
      </c>
      <c r="U90" s="799"/>
      <c r="V90" s="2041"/>
    </row>
    <row r="91" spans="1:22" s="21" customFormat="1" ht="28">
      <c r="A91" s="527"/>
      <c r="B91" s="433"/>
      <c r="C91" s="42" t="s">
        <v>216</v>
      </c>
      <c r="D91" s="5" t="str">
        <f t="shared" si="9"/>
        <v>Betrachtungsmöglichkeiten für Bilddokumente</v>
      </c>
      <c r="E91" s="6" t="str">
        <f t="shared" si="10"/>
        <v>Pläne, Dokumentation, Visitation</v>
      </c>
      <c r="F91" s="162"/>
      <c r="J91" s="2041"/>
      <c r="K91" s="799"/>
      <c r="N91" s="415" t="str">
        <f>Kriterien!R94</f>
        <v>Betrachtungsmöglichkeiten für Bilddokumente</v>
      </c>
      <c r="O91" s="428" t="str">
        <f>Kriterien!S94</f>
        <v>Équipements permettant de consulter les examens radiologiques</v>
      </c>
      <c r="P91" s="412" t="str">
        <f t="shared" si="12"/>
        <v>Betrachtungsmöglichkeiten für Bilddokumente</v>
      </c>
      <c r="Q91" s="415" t="str">
        <f>Kriterien!U94</f>
        <v>Pläne, Dokumentation, Visitation</v>
      </c>
      <c r="R91" s="416" t="str">
        <f>Kriterien!V94</f>
        <v>Plans, documentation, visite</v>
      </c>
      <c r="S91" s="412" t="str">
        <f t="shared" si="13"/>
        <v>Pläne, Dokumentation, Visitation</v>
      </c>
      <c r="U91" s="799"/>
      <c r="V91" s="2041"/>
    </row>
    <row r="92" spans="1:22" s="21" customFormat="1" ht="28">
      <c r="A92" s="527"/>
      <c r="B92" s="433"/>
      <c r="C92" s="42" t="s">
        <v>217</v>
      </c>
      <c r="D92" s="5" t="str">
        <f t="shared" si="9"/>
        <v>Material- und Geräteräume angepasst an die Grösse der Station</v>
      </c>
      <c r="E92" s="6" t="str">
        <f t="shared" si="10"/>
        <v>Pläne, Dokumentation, Visitation</v>
      </c>
      <c r="F92" s="162"/>
      <c r="J92" s="2041"/>
      <c r="K92" s="799"/>
      <c r="N92" s="415" t="str">
        <f>Kriterien!R95</f>
        <v>Material- und Geräteräume angepasst an die Grösse der Station</v>
      </c>
      <c r="O92" s="428" t="str">
        <f>Kriterien!S95</f>
        <v>Pièces destinées au matériel et aux appareils, adaptées à la taille de l'Unité</v>
      </c>
      <c r="P92" s="412" t="str">
        <f t="shared" si="12"/>
        <v>Material- und Geräteräume angepasst an die Grösse der Station</v>
      </c>
      <c r="Q92" s="415" t="str">
        <f>Kriterien!U95</f>
        <v>Pläne, Dokumentation, Visitation</v>
      </c>
      <c r="R92" s="416" t="str">
        <f>Kriterien!V95</f>
        <v>Plans, documentation, visite</v>
      </c>
      <c r="S92" s="412" t="str">
        <f t="shared" si="13"/>
        <v>Pläne, Dokumentation, Visitation</v>
      </c>
      <c r="U92" s="799"/>
      <c r="V92" s="2041"/>
    </row>
    <row r="93" spans="1:22" s="21" customFormat="1" ht="28">
      <c r="A93" s="527"/>
      <c r="B93" s="433"/>
      <c r="C93" s="42" t="s">
        <v>218</v>
      </c>
      <c r="D93" s="5" t="str">
        <f t="shared" si="9"/>
        <v>Arztbüro</v>
      </c>
      <c r="E93" s="6" t="str">
        <f t="shared" si="10"/>
        <v>Pläne, Dokumentation, Visitation</v>
      </c>
      <c r="F93" s="162"/>
      <c r="J93" s="2041"/>
      <c r="K93" s="799"/>
      <c r="N93" s="415" t="str">
        <f>Kriterien!R96</f>
        <v>Arztbüro</v>
      </c>
      <c r="O93" s="428" t="str">
        <f>Kriterien!S96</f>
        <v>Bureau médical</v>
      </c>
      <c r="P93" s="412" t="str">
        <f t="shared" si="12"/>
        <v>Arztbüro</v>
      </c>
      <c r="Q93" s="415" t="str">
        <f>Kriterien!U96</f>
        <v>Pläne, Dokumentation, Visitation</v>
      </c>
      <c r="R93" s="416" t="str">
        <f>Kriterien!V96</f>
        <v>Plans, documentation, visite</v>
      </c>
      <c r="S93" s="412" t="str">
        <f t="shared" si="13"/>
        <v>Pläne, Dokumentation, Visitation</v>
      </c>
      <c r="U93" s="799"/>
      <c r="V93" s="2041"/>
    </row>
    <row r="94" spans="1:22" s="21" customFormat="1" ht="28">
      <c r="A94" s="527"/>
      <c r="B94" s="433"/>
      <c r="C94" s="42" t="s">
        <v>219</v>
      </c>
      <c r="D94" s="5" t="str">
        <f t="shared" si="9"/>
        <v>Pflegebüro</v>
      </c>
      <c r="E94" s="6" t="str">
        <f t="shared" si="10"/>
        <v>Pläne, Dokumentation, Visitation</v>
      </c>
      <c r="F94" s="162"/>
      <c r="J94" s="2041"/>
      <c r="K94" s="799"/>
      <c r="N94" s="415" t="str">
        <f>Kriterien!R97</f>
        <v>Pflegebüro</v>
      </c>
      <c r="O94" s="428" t="str">
        <f>Kriterien!S97</f>
        <v>Bureau infirmier</v>
      </c>
      <c r="P94" s="412" t="str">
        <f t="shared" si="12"/>
        <v>Pflegebüro</v>
      </c>
      <c r="Q94" s="415" t="str">
        <f>Kriterien!U97</f>
        <v>Pläne, Dokumentation, Visitation</v>
      </c>
      <c r="R94" s="416" t="str">
        <f>Kriterien!V97</f>
        <v>Plans, documentation, visite</v>
      </c>
      <c r="S94" s="412" t="str">
        <f t="shared" si="13"/>
        <v>Pläne, Dokumentation, Visitation</v>
      </c>
      <c r="U94" s="799"/>
      <c r="V94" s="2041"/>
    </row>
    <row r="95" spans="1:22" s="21" customFormat="1" ht="28">
      <c r="A95" s="527"/>
      <c r="B95" s="433"/>
      <c r="C95" s="42" t="s">
        <v>220</v>
      </c>
      <c r="D95" s="5" t="str">
        <f t="shared" si="9"/>
        <v>Toiletten</v>
      </c>
      <c r="E95" s="6" t="str">
        <f t="shared" si="10"/>
        <v>Pläne, Dokumentation, Visitation</v>
      </c>
      <c r="F95" s="162"/>
      <c r="J95" s="2041"/>
      <c r="K95" s="799"/>
      <c r="N95" s="415" t="str">
        <f>Kriterien!R98</f>
        <v>Toiletten</v>
      </c>
      <c r="O95" s="428" t="str">
        <f>Kriterien!S98</f>
        <v>Toilettes</v>
      </c>
      <c r="P95" s="412" t="str">
        <f t="shared" si="12"/>
        <v>Toiletten</v>
      </c>
      <c r="Q95" s="415" t="str">
        <f>Kriterien!U98</f>
        <v>Pläne, Dokumentation, Visitation</v>
      </c>
      <c r="R95" s="416" t="str">
        <f>Kriterien!V98</f>
        <v>Plans, documentation, visite</v>
      </c>
      <c r="S95" s="412" t="str">
        <f t="shared" si="13"/>
        <v>Pläne, Dokumentation, Visitation</v>
      </c>
      <c r="U95" s="799"/>
      <c r="V95" s="2041"/>
    </row>
    <row r="96" spans="1:22" s="21" customFormat="1" ht="28">
      <c r="A96" s="527"/>
      <c r="B96" s="433"/>
      <c r="C96" s="42" t="s">
        <v>221</v>
      </c>
      <c r="D96" s="5" t="str">
        <f t="shared" si="9"/>
        <v>Ausguss/güsse: abgetrennte Räumlichkeit ohne Durchgangsverkehr</v>
      </c>
      <c r="E96" s="6" t="str">
        <f t="shared" si="10"/>
        <v>Pläne, Dokumentation, Visitation</v>
      </c>
      <c r="F96" s="162"/>
      <c r="J96" s="2041"/>
      <c r="K96" s="799"/>
      <c r="N96" s="415" t="str">
        <f>Kriterien!R99</f>
        <v>Ausguss/güsse: abgetrennte Räumlichkeit ohne Durchgangsverkehr</v>
      </c>
      <c r="O96" s="428" t="str">
        <f>Kriterien!S99</f>
        <v>Vidoir: local distinct ne permettant pas le passage</v>
      </c>
      <c r="P96" s="412" t="str">
        <f t="shared" si="12"/>
        <v>Ausguss/güsse: abgetrennte Räumlichkeit ohne Durchgangsverkehr</v>
      </c>
      <c r="Q96" s="415" t="str">
        <f>Kriterien!U99</f>
        <v>Pläne, Dokumentation, Visitation</v>
      </c>
      <c r="R96" s="416" t="str">
        <f>Kriterien!V99</f>
        <v>Plans, documentation, visite</v>
      </c>
      <c r="S96" s="412" t="str">
        <f t="shared" si="13"/>
        <v>Pläne, Dokumentation, Visitation</v>
      </c>
      <c r="U96" s="799"/>
      <c r="V96" s="2041"/>
    </row>
    <row r="97" spans="1:22" s="21" customFormat="1" ht="28">
      <c r="A97" s="527"/>
      <c r="B97" s="433"/>
      <c r="C97" s="42" t="s">
        <v>222</v>
      </c>
      <c r="D97" s="5" t="str">
        <f t="shared" si="9"/>
        <v>Besprechungsraum</v>
      </c>
      <c r="E97" s="6" t="str">
        <f t="shared" si="10"/>
        <v>Pläne, Dokumentation, Visitation</v>
      </c>
      <c r="F97" s="162"/>
      <c r="J97" s="2041"/>
      <c r="K97" s="970"/>
      <c r="N97" s="415" t="str">
        <f>Kriterien!R100</f>
        <v>Besprechungsraum</v>
      </c>
      <c r="O97" s="428" t="str">
        <f>Kriterien!S100</f>
        <v>Salle de réunion</v>
      </c>
      <c r="P97" s="412" t="str">
        <f t="shared" si="12"/>
        <v>Besprechungsraum</v>
      </c>
      <c r="Q97" s="415" t="str">
        <f>Kriterien!U100</f>
        <v>Pläne, Dokumentation, Visitation</v>
      </c>
      <c r="R97" s="416" t="str">
        <f>Kriterien!V100</f>
        <v>Plans, documentation, visite</v>
      </c>
      <c r="S97" s="412" t="str">
        <f t="shared" si="13"/>
        <v>Pläne, Dokumentation, Visitation</v>
      </c>
      <c r="U97" s="970"/>
      <c r="V97" s="2041"/>
    </row>
    <row r="98" spans="1:22" s="21" customFormat="1" ht="28">
      <c r="A98" s="527"/>
      <c r="B98" s="433"/>
      <c r="C98" s="42" t="s">
        <v>223</v>
      </c>
      <c r="D98" s="5" t="str">
        <f t="shared" si="9"/>
        <v>Wartezimmer /-zone beim Eingang für Besucher (Anzahl Sitzplätze = maximale Bettenzahl / 2 + 2)</v>
      </c>
      <c r="E98" s="6" t="str">
        <f t="shared" si="10"/>
        <v>Pläne, Dokumentation, Visitation</v>
      </c>
      <c r="F98" s="162"/>
      <c r="J98" s="2041"/>
      <c r="K98" s="970"/>
      <c r="N98" s="415" t="str">
        <f>Kriterien!R101</f>
        <v>Wartezimmer /-zone beim Eingang für Besucher (Anzahl Sitzplätze = maximale Bettenzahl / 2 + 2)</v>
      </c>
      <c r="O98" s="428" t="str">
        <f>Kriterien!S101</f>
        <v>Salle/zone d'attente au niveau de l'entrée des visiteurs (nombre de places assises = nombre maximum de lits/2 + 2)</v>
      </c>
      <c r="P98" s="412" t="str">
        <f t="shared" si="12"/>
        <v>Wartezimmer /-zone beim Eingang für Besucher (Anzahl Sitzplätze = maximale Bettenzahl / 2 + 2)</v>
      </c>
      <c r="Q98" s="415" t="str">
        <f>Kriterien!U101</f>
        <v>Pläne, Dokumentation, Visitation</v>
      </c>
      <c r="R98" s="416" t="str">
        <f>Kriterien!V101</f>
        <v>Plans, documentation, visite</v>
      </c>
      <c r="S98" s="412" t="str">
        <f t="shared" si="13"/>
        <v>Pläne, Dokumentation, Visitation</v>
      </c>
      <c r="U98" s="970"/>
      <c r="V98" s="2041"/>
    </row>
    <row r="99" spans="1:22" s="21" customFormat="1" ht="28">
      <c r="A99" s="527"/>
      <c r="B99" s="433"/>
      <c r="C99" s="42" t="s">
        <v>224</v>
      </c>
      <c r="D99" s="13" t="str">
        <f t="shared" si="9"/>
        <v>Aufenthaltsraum für Personal</v>
      </c>
      <c r="E99" s="6" t="str">
        <f t="shared" si="10"/>
        <v>Pläne, Dokumentation, Visitation</v>
      </c>
      <c r="F99" s="162"/>
      <c r="J99" s="2041"/>
      <c r="K99" s="970"/>
      <c r="N99" s="415" t="str">
        <f>Kriterien!R102</f>
        <v>Aufenthaltsraum für Personal</v>
      </c>
      <c r="O99" s="428" t="str">
        <f>Kriterien!S102</f>
        <v>Salle de repos pour le personnel</v>
      </c>
      <c r="P99" s="412" t="str">
        <f t="shared" si="12"/>
        <v>Aufenthaltsraum für Personal</v>
      </c>
      <c r="Q99" s="415" t="str">
        <f>Kriterien!U102</f>
        <v>Pläne, Dokumentation, Visitation</v>
      </c>
      <c r="R99" s="416" t="str">
        <f>Kriterien!V102</f>
        <v>Plans, documentation, visite</v>
      </c>
      <c r="S99" s="412" t="str">
        <f t="shared" si="13"/>
        <v>Pläne, Dokumentation, Visitation</v>
      </c>
      <c r="U99" s="970"/>
      <c r="V99" s="2041"/>
    </row>
    <row r="100" spans="1:22" s="21" customFormat="1" ht="28">
      <c r="A100" s="527"/>
      <c r="B100" s="433"/>
      <c r="C100" s="42" t="s">
        <v>225</v>
      </c>
      <c r="D100" s="13" t="str">
        <f t="shared" si="9"/>
        <v>Personalgarderobe (muss nicht auf dem Areal der IS sein)</v>
      </c>
      <c r="E100" s="6" t="str">
        <f t="shared" si="10"/>
        <v>Pläne, Dokumentation, Visitation</v>
      </c>
      <c r="F100" s="162"/>
      <c r="J100" s="2041"/>
      <c r="K100" s="970"/>
      <c r="N100" s="415" t="str">
        <f>Kriterien!R103</f>
        <v>Personalgarderobe (muss nicht auf dem Areal der IS sein)</v>
      </c>
      <c r="O100" s="428" t="str">
        <f>Kriterien!S103</f>
        <v>Vestiaire du personnel (ne doit pas obligatoirement se trouver dans l'enceinte de l'USI)</v>
      </c>
      <c r="P100" s="412" t="str">
        <f t="shared" si="12"/>
        <v>Personalgarderobe (muss nicht auf dem Areal der IS sein)</v>
      </c>
      <c r="Q100" s="415" t="str">
        <f>Kriterien!U103</f>
        <v>Pläne, Dokumentation, Visitation</v>
      </c>
      <c r="R100" s="416" t="str">
        <f>Kriterien!V103</f>
        <v>Plans, documentation, visite</v>
      </c>
      <c r="S100" s="412" t="str">
        <f t="shared" si="13"/>
        <v>Pläne, Dokumentation, Visitation</v>
      </c>
      <c r="U100" s="970"/>
      <c r="V100" s="2041"/>
    </row>
    <row r="101" spans="1:22" s="21" customFormat="1" ht="37">
      <c r="A101" s="526"/>
      <c r="B101" s="300"/>
      <c r="C101" s="188" t="s">
        <v>226</v>
      </c>
      <c r="D101" s="179" t="str">
        <f t="shared" si="9"/>
        <v>Abschliessbare Fächer für jeden im Einsatz stehenden Mitarbeiter (kann in Garderobe integriert sein, wenn die Garderobe unmittelbar bei oder in der IS lokalisiert ist)</v>
      </c>
      <c r="E101" s="6" t="str">
        <f t="shared" si="10"/>
        <v>Pläne, Dokumentation, Visitation</v>
      </c>
      <c r="F101" s="162"/>
      <c r="J101" s="2041"/>
      <c r="K101" s="970"/>
      <c r="N101" s="415" t="str">
        <f>Kriterien!R104</f>
        <v>Abschliessbare Fächer für jeden im Einsatz stehenden Mitarbeiter (kann in Garderobe integriert sein, wenn die Garderobe unmittelbar bei oder in der IS lokalisiert ist)</v>
      </c>
      <c r="O101" s="428" t="str">
        <f>Kriterien!S104</f>
        <v>Casiers verrouillables pour chaque membre du personnel en service (peuvent être intégrés aux vestiaires lorsque ceux-ci se trouvent dans l'environnement immédiat de l'USI ou dans l'USI elle-même)</v>
      </c>
      <c r="P101" s="412" t="str">
        <f t="shared" si="12"/>
        <v>Abschliessbare Fächer für jeden im Einsatz stehenden Mitarbeiter (kann in Garderobe integriert sein, wenn die Garderobe unmittelbar bei oder in der IS lokalisiert ist)</v>
      </c>
      <c r="Q101" s="415" t="str">
        <f>Kriterien!U104</f>
        <v>Pläne, Dokumentation, Visitation</v>
      </c>
      <c r="R101" s="416" t="str">
        <f>Kriterien!V104</f>
        <v>Plans, documentation, visite</v>
      </c>
      <c r="S101" s="412" t="str">
        <f t="shared" si="13"/>
        <v>Pläne, Dokumentation, Visitation</v>
      </c>
      <c r="U101" s="970"/>
      <c r="V101" s="2041"/>
    </row>
    <row r="102" spans="1:22" s="189" customFormat="1" ht="18">
      <c r="A102" s="432"/>
      <c r="B102" s="432"/>
      <c r="C102" s="39">
        <v>3</v>
      </c>
      <c r="D102" s="3" t="str">
        <f t="shared" si="9"/>
        <v>Einrichtung des Patientenplatzes</v>
      </c>
      <c r="E102" s="34" t="str">
        <f t="shared" si="10"/>
        <v/>
      </c>
      <c r="F102" s="62"/>
      <c r="J102" s="2041"/>
      <c r="K102"/>
      <c r="N102" s="415" t="str">
        <f>Kriterien!R105</f>
        <v>Einrichtung des Patientenplatzes</v>
      </c>
      <c r="O102" s="428" t="str">
        <f>Kriterien!S105</f>
        <v>Aménagement de l'espace dédié au patient</v>
      </c>
      <c r="P102" s="412" t="str">
        <f t="shared" si="12"/>
        <v>Einrichtung des Patientenplatzes</v>
      </c>
      <c r="Q102" s="415">
        <f>Kriterien!U105</f>
        <v>0</v>
      </c>
      <c r="R102" s="416">
        <f>Kriterien!V105</f>
        <v>0</v>
      </c>
      <c r="S102" s="412" t="str">
        <f t="shared" si="13"/>
        <v/>
      </c>
      <c r="U102"/>
      <c r="V102" s="2041"/>
    </row>
    <row r="103" spans="1:22" s="21" customFormat="1" ht="18">
      <c r="A103" s="526"/>
      <c r="B103" s="433"/>
      <c r="C103" s="40">
        <v>3.1</v>
      </c>
      <c r="D103" s="9" t="str">
        <f t="shared" ref="D103:D166" si="14">P103</f>
        <v>Patientenbett</v>
      </c>
      <c r="E103" s="32" t="str">
        <f t="shared" ref="E103:E166" si="15">S103</f>
        <v/>
      </c>
      <c r="F103" s="162"/>
      <c r="J103" s="2041"/>
      <c r="K103"/>
      <c r="N103" s="415" t="str">
        <f>Kriterien!R106</f>
        <v>Patientenbett</v>
      </c>
      <c r="O103" s="428" t="str">
        <f>Kriterien!S106</f>
        <v>Lit du patient</v>
      </c>
      <c r="P103" s="412" t="str">
        <f t="shared" si="12"/>
        <v>Patientenbett</v>
      </c>
      <c r="Q103" s="415">
        <f>Kriterien!U106</f>
        <v>0</v>
      </c>
      <c r="R103" s="416">
        <f>Kriterien!V106</f>
        <v>0</v>
      </c>
      <c r="S103" s="412" t="str">
        <f t="shared" si="13"/>
        <v/>
      </c>
      <c r="U103"/>
      <c r="V103" s="2041"/>
    </row>
    <row r="104" spans="1:22" s="21" customFormat="1" ht="37">
      <c r="A104" s="526"/>
      <c r="B104" s="300"/>
      <c r="C104" s="50" t="s">
        <v>227</v>
      </c>
      <c r="D104" s="52" t="str">
        <f t="shared" si="14"/>
        <v>Das Patientenbett erlaubt Veränderung der Lage des Patienten im Raum in drei Abschnitten: Kopfteil, Mittelteil und Fussende, sowie alle drei Abschnitte gemeinsam.</v>
      </c>
      <c r="E104" s="6" t="str">
        <f t="shared" si="15"/>
        <v>Visitation</v>
      </c>
      <c r="F104" s="162"/>
      <c r="J104" s="2041"/>
      <c r="K104"/>
      <c r="N104" s="415" t="str">
        <f>Kriterien!R107</f>
        <v>Das Patientenbett erlaubt Veränderung der Lage des Patienten im Raum in drei Abschnitten: Kopfteil, Mittelteil und Fussende, sowie alle drei Abschnitte gemeinsam.</v>
      </c>
      <c r="O104" s="428" t="str">
        <f>Kriterien!S107</f>
        <v>Le lit permet de modifier la position du patient à trois niveaux : au niveau de la tête, du corps et des pieds ainsi qu'aux trois niveaux simultanément.</v>
      </c>
      <c r="P104" s="412" t="str">
        <f t="shared" si="12"/>
        <v>Das Patientenbett erlaubt Veränderung der Lage des Patienten im Raum in drei Abschnitten: Kopfteil, Mittelteil und Fussende, sowie alle drei Abschnitte gemeinsam.</v>
      </c>
      <c r="Q104" s="415" t="str">
        <f>Kriterien!U107</f>
        <v>Visitation</v>
      </c>
      <c r="R104" s="416" t="str">
        <f>Kriterien!V107</f>
        <v>Visite</v>
      </c>
      <c r="S104" s="412" t="str">
        <f t="shared" si="13"/>
        <v>Visitation</v>
      </c>
      <c r="U104"/>
      <c r="V104" s="2041"/>
    </row>
    <row r="105" spans="1:22" s="21" customFormat="1" ht="18">
      <c r="A105" s="527"/>
      <c r="B105" s="433"/>
      <c r="C105" s="50" t="s">
        <v>228</v>
      </c>
      <c r="D105" s="115" t="str">
        <f t="shared" si="14"/>
        <v>Das Bett muss eine externe Herzmassage erlauben.</v>
      </c>
      <c r="E105" s="6" t="str">
        <f t="shared" si="15"/>
        <v>Visitation</v>
      </c>
      <c r="F105" s="162"/>
      <c r="J105" s="2041"/>
      <c r="K105"/>
      <c r="N105" s="415" t="str">
        <f>Kriterien!R108</f>
        <v>Das Bett muss eine externe Herzmassage erlauben.</v>
      </c>
      <c r="O105" s="428" t="str">
        <f>Kriterien!S108</f>
        <v>Le lit doit permettre un massage cardiaque externe.</v>
      </c>
      <c r="P105" s="412" t="str">
        <f t="shared" si="12"/>
        <v>Das Bett muss eine externe Herzmassage erlauben.</v>
      </c>
      <c r="Q105" s="415" t="str">
        <f>Kriterien!U108</f>
        <v>Visitation</v>
      </c>
      <c r="R105" s="416" t="str">
        <f>Kriterien!V108</f>
        <v>Visite</v>
      </c>
      <c r="S105" s="412" t="str">
        <f t="shared" si="13"/>
        <v>Visitation</v>
      </c>
      <c r="U105"/>
      <c r="V105" s="2041"/>
    </row>
    <row r="106" spans="1:22" s="21" customFormat="1" ht="49">
      <c r="A106" s="526"/>
      <c r="B106" s="300"/>
      <c r="C106" s="50" t="s">
        <v>229</v>
      </c>
      <c r="D106" s="115" t="str">
        <f t="shared" si="14"/>
        <v>Die Ausrüstung der Betten ist so veränderbar, dass alle Lagerungen (Rücken-, Seiten- und Bauchlagerung) durchgeführt werden können. Die Unterlagen und Matratzen müssen so gewählt werden können, dass eine Dekubitusprophylaxe möglich ist.</v>
      </c>
      <c r="E106" s="6" t="str">
        <f t="shared" si="15"/>
        <v>Visitation</v>
      </c>
      <c r="F106" s="162"/>
      <c r="J106" s="2041"/>
      <c r="K106"/>
      <c r="N106" s="415" t="str">
        <f>Kriterien!R109</f>
        <v>Die Ausrüstung der Betten ist so veränderbar, dass alle Lagerungen (Rücken-, Seiten- und Bauchlagerung) durchgeführt werden können. Die Unterlagen und Matratzen müssen so gewählt werden können, dass eine Dekubitusprophylaxe möglich ist.</v>
      </c>
      <c r="O106" s="428" t="str">
        <f>Kriterien!S109</f>
        <v>L’équipement des lits est conçu de façon à permettre indifféremment le positionnement du patient en décubitus ventral, latéral et dorsal. Alèse et matelas doivent être choisis de façon à prévenir les escarres.</v>
      </c>
      <c r="P106" s="412" t="str">
        <f t="shared" si="12"/>
        <v>Die Ausrüstung der Betten ist so veränderbar, dass alle Lagerungen (Rücken-, Seiten- und Bauchlagerung) durchgeführt werden können. Die Unterlagen und Matratzen müssen so gewählt werden können, dass eine Dekubitusprophylaxe möglich ist.</v>
      </c>
      <c r="Q106" s="415" t="str">
        <f>Kriterien!U109</f>
        <v>Visitation</v>
      </c>
      <c r="R106" s="416" t="str">
        <f>Kriterien!V109</f>
        <v>Visite</v>
      </c>
      <c r="S106" s="412" t="str">
        <f t="shared" si="13"/>
        <v>Visitation</v>
      </c>
      <c r="U106"/>
      <c r="V106" s="2041"/>
    </row>
    <row r="107" spans="1:22" s="21" customFormat="1" ht="18">
      <c r="A107" s="526"/>
      <c r="B107" s="433"/>
      <c r="C107" s="40">
        <v>3.2</v>
      </c>
      <c r="D107" s="9" t="str">
        <f t="shared" si="14"/>
        <v>Anordnung des Bettes im Raum und Abtrennung</v>
      </c>
      <c r="E107" s="32" t="str">
        <f t="shared" si="15"/>
        <v/>
      </c>
      <c r="F107" s="162"/>
      <c r="J107" s="2041"/>
      <c r="K107"/>
      <c r="N107" s="415" t="str">
        <f>Kriterien!R110</f>
        <v>Anordnung des Bettes im Raum und Abtrennung</v>
      </c>
      <c r="O107" s="428" t="str">
        <f>Kriterien!S110</f>
        <v>Agencement du lit dans la pièce et séparation</v>
      </c>
      <c r="P107" s="412" t="str">
        <f t="shared" si="12"/>
        <v>Anordnung des Bettes im Raum und Abtrennung</v>
      </c>
      <c r="Q107" s="415">
        <f>Kriterien!U110</f>
        <v>0</v>
      </c>
      <c r="R107" s="416">
        <f>Kriterien!V110</f>
        <v>0</v>
      </c>
      <c r="S107" s="412" t="str">
        <f t="shared" si="13"/>
        <v/>
      </c>
      <c r="U107"/>
      <c r="V107" s="2041"/>
    </row>
    <row r="108" spans="1:22" s="21" customFormat="1" ht="42">
      <c r="A108" s="526"/>
      <c r="B108" s="300"/>
      <c r="C108" s="42" t="s">
        <v>230</v>
      </c>
      <c r="D108" s="5" t="str">
        <f t="shared" si="14"/>
        <v>Die Platzierung und die Orientierung des Bettes soll dem Patienten erlauben, das Pflegepersonal, das Aussenfenster, die Uhr sowie andere räumliche Orientierungspunkte zu sehen.</v>
      </c>
      <c r="E108" s="6" t="str">
        <f t="shared" si="15"/>
        <v>Visitation</v>
      </c>
      <c r="F108" s="162"/>
      <c r="J108" s="2041"/>
      <c r="K108"/>
      <c r="N108" s="415" t="str">
        <f>Kriterien!R111</f>
        <v>Die Platzierung und die Orientierung des Bettes soll dem Patienten erlauben, das Pflegepersonal, das Aussenfenster, die Uhr sowie andere räumliche Orientierungspunkte zu sehen.</v>
      </c>
      <c r="O108" s="428" t="str">
        <f>Kriterien!S111</f>
        <v>La localisation et l'orientation du lit doivent permettre au patient d'apercevoir l'infirmière, la fenêtre de la chambre, l'horloge ainsi que d'autres repères spatiaux.</v>
      </c>
      <c r="P108" s="412" t="str">
        <f t="shared" si="12"/>
        <v>Die Platzierung und die Orientierung des Bettes soll dem Patienten erlauben, das Pflegepersonal, das Aussenfenster, die Uhr sowie andere räumliche Orientierungspunkte zu sehen.</v>
      </c>
      <c r="Q108" s="415" t="str">
        <f>Kriterien!U111</f>
        <v>Visitation</v>
      </c>
      <c r="R108" s="416" t="str">
        <f>Kriterien!V111</f>
        <v>Visite</v>
      </c>
      <c r="S108" s="412" t="str">
        <f t="shared" si="13"/>
        <v>Visitation</v>
      </c>
      <c r="U108"/>
      <c r="V108" s="2041"/>
    </row>
    <row r="109" spans="1:22" s="21" customFormat="1" ht="18">
      <c r="A109" s="529"/>
      <c r="B109" s="300"/>
      <c r="C109" s="50" t="s">
        <v>231</v>
      </c>
      <c r="D109" s="5" t="str">
        <f t="shared" si="14"/>
        <v>Das Bett ist im Bedarfsfall von allen Seiten her zugänglich.</v>
      </c>
      <c r="E109" s="6" t="str">
        <f t="shared" si="15"/>
        <v>Visitation</v>
      </c>
      <c r="F109" s="162"/>
      <c r="J109" s="2041"/>
      <c r="K109"/>
      <c r="N109" s="415" t="str">
        <f>Kriterien!R112</f>
        <v>Das Bett ist im Bedarfsfall von allen Seiten her zugänglich.</v>
      </c>
      <c r="O109" s="428" t="str">
        <f>Kriterien!S112</f>
        <v>En cas de besoin, le lit doit être accessible par tous les côtés.</v>
      </c>
      <c r="P109" s="412" t="str">
        <f t="shared" si="12"/>
        <v>Das Bett ist im Bedarfsfall von allen Seiten her zugänglich.</v>
      </c>
      <c r="Q109" s="415" t="str">
        <f>Kriterien!U112</f>
        <v>Visitation</v>
      </c>
      <c r="R109" s="416" t="str">
        <f>Kriterien!V112</f>
        <v>Visite</v>
      </c>
      <c r="S109" s="412" t="str">
        <f t="shared" si="13"/>
        <v>Visitation</v>
      </c>
      <c r="U109"/>
      <c r="V109" s="2041"/>
    </row>
    <row r="110" spans="1:22" s="21" customFormat="1" ht="25.5" customHeight="1">
      <c r="A110" s="526"/>
      <c r="B110" s="300"/>
      <c r="C110" s="50" t="s">
        <v>232</v>
      </c>
      <c r="D110" s="115" t="str">
        <f t="shared" si="14"/>
        <v>In Mehrbettzimmern sind flexible Trennvorrichtungen, die leicht und schnell zu öffnen sind, installiert (fixe Installation oder variabel).</v>
      </c>
      <c r="E110" s="6" t="str">
        <f t="shared" si="15"/>
        <v>Visitation</v>
      </c>
      <c r="F110" s="162"/>
      <c r="J110" s="2041"/>
      <c r="K110"/>
      <c r="N110" s="415" t="str">
        <f>Kriterien!R113</f>
        <v>In Mehrbettzimmern sind flexible Trennvorrichtungen, die leicht und schnell zu öffnen sind, installiert (fixe Installation oder variabel).</v>
      </c>
      <c r="O110" s="428" t="str">
        <f>Kriterien!S113</f>
        <v>Dans des chambres à plusieurs lits, des rideaux de séparation flexibles, dont l'ouverture est facile et rapide, sont installés (installation fixe ou amovible).</v>
      </c>
      <c r="P110" s="412" t="str">
        <f t="shared" si="12"/>
        <v>In Mehrbettzimmern sind flexible Trennvorrichtungen, die leicht und schnell zu öffnen sind, installiert (fixe Installation oder variabel).</v>
      </c>
      <c r="Q110" s="415" t="str">
        <f>Kriterien!U113</f>
        <v>Visitation</v>
      </c>
      <c r="R110" s="416" t="str">
        <f>Kriterien!V113</f>
        <v>Visite</v>
      </c>
      <c r="S110" s="412" t="str">
        <f t="shared" si="13"/>
        <v>Visitation</v>
      </c>
      <c r="U110"/>
      <c r="V110" s="2041"/>
    </row>
    <row r="111" spans="1:22" s="21" customFormat="1" ht="18">
      <c r="A111" s="526"/>
      <c r="B111" s="433"/>
      <c r="C111" s="40">
        <v>3.3</v>
      </c>
      <c r="D111" s="9" t="str">
        <f t="shared" si="14"/>
        <v>Minimalinstallationen am Bettplatz</v>
      </c>
      <c r="E111" s="32" t="str">
        <f t="shared" si="15"/>
        <v/>
      </c>
      <c r="F111" s="162"/>
      <c r="J111" s="2041"/>
      <c r="K111"/>
      <c r="N111" s="415" t="str">
        <f>Kriterien!R114</f>
        <v>Minimalinstallationen am Bettplatz</v>
      </c>
      <c r="O111" s="428" t="str">
        <f>Kriterien!S114</f>
        <v>Installations minimales à l'emplacement du lit</v>
      </c>
      <c r="P111" s="412" t="str">
        <f t="shared" si="12"/>
        <v>Minimalinstallationen am Bettplatz</v>
      </c>
      <c r="Q111" s="415">
        <f>Kriterien!U114</f>
        <v>0</v>
      </c>
      <c r="R111" s="416">
        <f>Kriterien!V114</f>
        <v>0</v>
      </c>
      <c r="S111" s="412" t="str">
        <f t="shared" si="13"/>
        <v/>
      </c>
      <c r="U111"/>
      <c r="V111" s="2041"/>
    </row>
    <row r="112" spans="1:22" s="21" customFormat="1" ht="37">
      <c r="A112" s="526"/>
      <c r="B112" s="300"/>
      <c r="C112" s="50" t="s">
        <v>233</v>
      </c>
      <c r="D112" s="115" t="str">
        <f t="shared" si="14"/>
        <v>Die folgenden Installationen pro Bettenplatz sind leicht erreichbar und auf mindestens 120 cm Höhe installiert, verteilt auf beide Seiten des Bettes.</v>
      </c>
      <c r="E112" s="6" t="str">
        <f t="shared" si="15"/>
        <v>Visitation</v>
      </c>
      <c r="F112" s="162"/>
      <c r="J112" s="2041"/>
      <c r="K112"/>
      <c r="N112" s="415" t="str">
        <f>Kriterien!R115</f>
        <v>Die folgenden Installationen pro Bettenplatz sind leicht erreichbar und auf mindestens 120 cm Höhe installiert, verteilt auf beide Seiten des Bettes.</v>
      </c>
      <c r="O112" s="428" t="str">
        <f>Kriterien!S115</f>
        <v>Les installations suivantes équipant chaque lit sont facilement accessibles et placées à une hauteur de 120 cm au moins, disposées de part et d'autre du lit :</v>
      </c>
      <c r="P112" s="412" t="str">
        <f t="shared" si="12"/>
        <v>Die folgenden Installationen pro Bettenplatz sind leicht erreichbar und auf mindestens 120 cm Höhe installiert, verteilt auf beide Seiten des Bettes.</v>
      </c>
      <c r="Q112" s="415" t="str">
        <f>Kriterien!U115</f>
        <v>Visitation</v>
      </c>
      <c r="R112" s="416" t="str">
        <f>Kriterien!V115</f>
        <v>Visite</v>
      </c>
      <c r="S112" s="412" t="str">
        <f t="shared" si="13"/>
        <v>Visitation</v>
      </c>
      <c r="U112"/>
      <c r="V112" s="2041"/>
    </row>
    <row r="113" spans="1:22" s="21" customFormat="1" ht="18">
      <c r="A113" s="527"/>
      <c r="B113" s="433"/>
      <c r="C113" s="50" t="s">
        <v>234</v>
      </c>
      <c r="D113" s="115" t="str">
        <f t="shared" si="14"/>
        <v>12 Steckdosen</v>
      </c>
      <c r="E113" s="6" t="str">
        <f t="shared" si="15"/>
        <v>Visitation</v>
      </c>
      <c r="F113" s="162"/>
      <c r="J113" s="2041"/>
      <c r="K113"/>
      <c r="N113" s="415" t="str">
        <f>Kriterien!R116</f>
        <v>12 Steckdosen</v>
      </c>
      <c r="O113" s="428" t="str">
        <f>Kriterien!S116</f>
        <v>12 prises électriques</v>
      </c>
      <c r="P113" s="412" t="str">
        <f t="shared" si="12"/>
        <v>12 Steckdosen</v>
      </c>
      <c r="Q113" s="415" t="str">
        <f>Kriterien!U116</f>
        <v>Visitation</v>
      </c>
      <c r="R113" s="416" t="str">
        <f>Kriterien!V116</f>
        <v>Visite</v>
      </c>
      <c r="S113" s="412" t="str">
        <f t="shared" si="13"/>
        <v>Visitation</v>
      </c>
      <c r="U113"/>
      <c r="V113" s="2041"/>
    </row>
    <row r="114" spans="1:22" s="21" customFormat="1" ht="18">
      <c r="A114" s="527"/>
      <c r="B114" s="433"/>
      <c r="C114" s="50" t="s">
        <v>235</v>
      </c>
      <c r="D114" s="115" t="str">
        <f t="shared" si="14"/>
        <v>2 Sauerstoffanschlüsse</v>
      </c>
      <c r="E114" s="6" t="str">
        <f t="shared" si="15"/>
        <v>Visitation</v>
      </c>
      <c r="F114" s="162"/>
      <c r="J114" s="2041"/>
      <c r="K114"/>
      <c r="N114" s="415" t="str">
        <f>Kriterien!R117</f>
        <v>2 Sauerstoffanschlüsse</v>
      </c>
      <c r="O114" s="428" t="str">
        <f>Kriterien!S117</f>
        <v>2 prises d'oxygène</v>
      </c>
      <c r="P114" s="412" t="str">
        <f t="shared" si="12"/>
        <v>2 Sauerstoffanschlüsse</v>
      </c>
      <c r="Q114" s="415" t="str">
        <f>Kriterien!U117</f>
        <v>Visitation</v>
      </c>
      <c r="R114" s="416" t="str">
        <f>Kriterien!V117</f>
        <v>Visite</v>
      </c>
      <c r="S114" s="412" t="str">
        <f t="shared" si="13"/>
        <v>Visitation</v>
      </c>
      <c r="U114"/>
      <c r="V114" s="2041"/>
    </row>
    <row r="115" spans="1:22" s="21" customFormat="1" ht="18">
      <c r="A115" s="527"/>
      <c r="B115" s="433"/>
      <c r="C115" s="50" t="s">
        <v>236</v>
      </c>
      <c r="D115" s="115" t="str">
        <f t="shared" si="14"/>
        <v>1 Druckluftanschluss</v>
      </c>
      <c r="E115" s="6" t="str">
        <f t="shared" si="15"/>
        <v>Visitation</v>
      </c>
      <c r="F115" s="162"/>
      <c r="J115" s="2041"/>
      <c r="K115"/>
      <c r="N115" s="415" t="str">
        <f>Kriterien!R118</f>
        <v>1 Druckluftanschluss</v>
      </c>
      <c r="O115" s="428" t="str">
        <f>Kriterien!S118</f>
        <v>1 prise d'air comprimé</v>
      </c>
      <c r="P115" s="412" t="str">
        <f t="shared" si="12"/>
        <v>1 Druckluftanschluss</v>
      </c>
      <c r="Q115" s="415" t="str">
        <f>Kriterien!U118</f>
        <v>Visitation</v>
      </c>
      <c r="R115" s="416" t="str">
        <f>Kriterien!V118</f>
        <v>Visite</v>
      </c>
      <c r="S115" s="412" t="str">
        <f t="shared" si="13"/>
        <v>Visitation</v>
      </c>
      <c r="U115"/>
      <c r="V115" s="2041"/>
    </row>
    <row r="116" spans="1:22" s="21" customFormat="1" ht="18">
      <c r="A116" s="527"/>
      <c r="B116" s="433"/>
      <c r="C116" s="50" t="s">
        <v>237</v>
      </c>
      <c r="D116" s="115" t="str">
        <f t="shared" si="14"/>
        <v>2 Vakuumanschlüsse</v>
      </c>
      <c r="E116" s="6" t="str">
        <f t="shared" si="15"/>
        <v>Visitation</v>
      </c>
      <c r="F116" s="162"/>
      <c r="J116" s="2041"/>
      <c r="K116"/>
      <c r="N116" s="415" t="str">
        <f>Kriterien!R119</f>
        <v>2 Vakuumanschlüsse</v>
      </c>
      <c r="O116" s="428" t="str">
        <f>Kriterien!S119</f>
        <v>2 prises de vide (vacuum)</v>
      </c>
      <c r="P116" s="412" t="str">
        <f t="shared" si="12"/>
        <v>2 Vakuumanschlüsse</v>
      </c>
      <c r="Q116" s="415" t="str">
        <f>Kriterien!U119</f>
        <v>Visitation</v>
      </c>
      <c r="R116" s="416" t="str">
        <f>Kriterien!V119</f>
        <v>Visite</v>
      </c>
      <c r="S116" s="412" t="str">
        <f t="shared" si="13"/>
        <v>Visitation</v>
      </c>
      <c r="U116"/>
      <c r="V116" s="2041"/>
    </row>
    <row r="117" spans="1:22" s="21" customFormat="1" ht="28">
      <c r="A117" s="526"/>
      <c r="B117" s="300"/>
      <c r="C117" s="50" t="s">
        <v>238</v>
      </c>
      <c r="D117" s="115" t="str">
        <f t="shared" si="14"/>
        <v>Variable Beleuchtungsstärken pro Bettenplatz von Nachtbeleuchtung bis sehr hell (1000 Lux)</v>
      </c>
      <c r="E117" s="6" t="str">
        <f t="shared" si="15"/>
        <v>Visitation</v>
      </c>
      <c r="F117" s="162"/>
      <c r="J117" s="2041"/>
      <c r="K117"/>
      <c r="N117" s="415" t="str">
        <f>Kriterien!R120</f>
        <v>Variable Beleuchtungsstärken pro Bettenplatz von Nachtbeleuchtung bis sehr hell (1000 Lux)</v>
      </c>
      <c r="O117" s="428" t="str">
        <f>Kriterien!S120</f>
        <v>une lampe par lit équipée d’un variateur permettant un éclairage de très faible à très forte intensité (1000 lux)</v>
      </c>
      <c r="P117" s="412" t="str">
        <f t="shared" si="12"/>
        <v>Variable Beleuchtungsstärken pro Bettenplatz von Nachtbeleuchtung bis sehr hell (1000 Lux)</v>
      </c>
      <c r="Q117" s="415" t="str">
        <f>Kriterien!U120</f>
        <v>Visitation</v>
      </c>
      <c r="R117" s="416" t="str">
        <f>Kriterien!V120</f>
        <v>Visite</v>
      </c>
      <c r="S117" s="412" t="str">
        <f t="shared" si="13"/>
        <v>Visitation</v>
      </c>
      <c r="U117"/>
      <c r="V117" s="2041"/>
    </row>
    <row r="118" spans="1:22" s="21" customFormat="1" ht="18">
      <c r="A118" s="527"/>
      <c r="B118" s="433"/>
      <c r="C118" s="50" t="s">
        <v>239</v>
      </c>
      <c r="D118" s="7" t="str">
        <f t="shared" si="14"/>
        <v>Präsenzlicht mit Alarm</v>
      </c>
      <c r="E118" s="6" t="str">
        <f t="shared" si="15"/>
        <v>Visitation</v>
      </c>
      <c r="F118" s="162"/>
      <c r="J118" s="2041"/>
      <c r="K118"/>
      <c r="N118" s="415" t="str">
        <f>Kriterien!R121</f>
        <v>Präsenzlicht mit Alarm</v>
      </c>
      <c r="O118" s="428" t="str">
        <f>Kriterien!S121</f>
        <v>une lumière de présence avec alarme</v>
      </c>
      <c r="P118" s="412" t="str">
        <f t="shared" si="12"/>
        <v>Präsenzlicht mit Alarm</v>
      </c>
      <c r="Q118" s="415" t="str">
        <f>Kriterien!U121</f>
        <v>Visitation</v>
      </c>
      <c r="R118" s="416" t="str">
        <f>Kriterien!V121</f>
        <v>Visite</v>
      </c>
      <c r="S118" s="412" t="str">
        <f t="shared" si="13"/>
        <v>Visitation</v>
      </c>
      <c r="U118"/>
      <c r="V118" s="2041"/>
    </row>
    <row r="119" spans="1:22" s="21" customFormat="1" ht="18">
      <c r="A119" s="526"/>
      <c r="B119" s="300"/>
      <c r="C119" s="50" t="s">
        <v>240</v>
      </c>
      <c r="D119" s="115" t="str">
        <f t="shared" si="14"/>
        <v>Telefonanschluss</v>
      </c>
      <c r="E119" s="6" t="str">
        <f t="shared" si="15"/>
        <v>Visitation</v>
      </c>
      <c r="F119" s="162"/>
      <c r="J119" s="2041"/>
      <c r="K119"/>
      <c r="N119" s="415" t="str">
        <f>Kriterien!R122</f>
        <v>Telefonanschluss</v>
      </c>
      <c r="O119" s="428" t="str">
        <f>Kriterien!S122</f>
        <v>une prise téléphone</v>
      </c>
      <c r="P119" s="412" t="str">
        <f t="shared" si="12"/>
        <v>Telefonanschluss</v>
      </c>
      <c r="Q119" s="415" t="str">
        <f>Kriterien!U122</f>
        <v>Visitation</v>
      </c>
      <c r="R119" s="416" t="str">
        <f>Kriterien!V122</f>
        <v>Visite</v>
      </c>
      <c r="S119" s="412" t="str">
        <f t="shared" si="13"/>
        <v>Visitation</v>
      </c>
      <c r="U119"/>
      <c r="V119" s="2041"/>
    </row>
    <row r="120" spans="1:22" s="21" customFormat="1" ht="18">
      <c r="A120" s="526"/>
      <c r="B120" s="300"/>
      <c r="C120" s="50" t="s">
        <v>241</v>
      </c>
      <c r="D120" s="6" t="str">
        <f t="shared" si="14"/>
        <v>Radio- und Fernsehanschluss mit Kopfhörer</v>
      </c>
      <c r="E120" s="6" t="str">
        <f t="shared" si="15"/>
        <v>Visitation</v>
      </c>
      <c r="F120" s="162"/>
      <c r="J120" s="2041"/>
      <c r="K120" s="510"/>
      <c r="N120" s="415" t="str">
        <f>Kriterien!R123</f>
        <v>Radio- und Fernsehanschluss mit Kopfhörer</v>
      </c>
      <c r="O120" s="428" t="str">
        <f>Kriterien!S123</f>
        <v>une prise radio et télévision avec des écouteurs</v>
      </c>
      <c r="P120" s="412" t="str">
        <f t="shared" si="12"/>
        <v>Radio- und Fernsehanschluss mit Kopfhörer</v>
      </c>
      <c r="Q120" s="415" t="str">
        <f>Kriterien!U123</f>
        <v>Visitation</v>
      </c>
      <c r="R120" s="416" t="str">
        <f>Kriterien!V123</f>
        <v>Visite</v>
      </c>
      <c r="S120" s="412" t="str">
        <f t="shared" si="13"/>
        <v>Visitation</v>
      </c>
      <c r="U120" s="510"/>
      <c r="V120" s="2041"/>
    </row>
    <row r="121" spans="1:22" s="21" customFormat="1" ht="18">
      <c r="A121" s="526"/>
      <c r="B121" s="433"/>
      <c r="C121" s="40">
        <v>3.4</v>
      </c>
      <c r="D121" s="9" t="str">
        <f t="shared" si="14"/>
        <v>Einrichtungen am Bettplatz</v>
      </c>
      <c r="E121" s="32" t="str">
        <f t="shared" si="15"/>
        <v/>
      </c>
      <c r="F121" s="162"/>
      <c r="J121" s="2041"/>
      <c r="K121" s="799"/>
      <c r="N121" s="415" t="str">
        <f>Kriterien!R124</f>
        <v>Einrichtungen am Bettplatz</v>
      </c>
      <c r="O121" s="428" t="str">
        <f>Kriterien!S124</f>
        <v>Équipements à l'emplacement du lit</v>
      </c>
      <c r="P121" s="412" t="str">
        <f t="shared" si="12"/>
        <v>Einrichtungen am Bettplatz</v>
      </c>
      <c r="Q121" s="415">
        <f>Kriterien!U124</f>
        <v>0</v>
      </c>
      <c r="R121" s="416">
        <f>Kriterien!V124</f>
        <v>0</v>
      </c>
      <c r="S121" s="412" t="str">
        <f t="shared" si="13"/>
        <v/>
      </c>
      <c r="U121" s="799"/>
      <c r="V121" s="2041"/>
    </row>
    <row r="122" spans="1:22" s="21" customFormat="1" ht="57.75" customHeight="1">
      <c r="A122" s="527"/>
      <c r="B122" s="434"/>
      <c r="C122" s="50" t="s">
        <v>242</v>
      </c>
      <c r="D122" s="115" t="str">
        <f t="shared" si="14"/>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E122" s="6" t="str">
        <f t="shared" si="15"/>
        <v>Visitation</v>
      </c>
      <c r="F122" s="162"/>
      <c r="J122" s="2041"/>
      <c r="K122" s="799"/>
      <c r="N122" s="415" t="str">
        <f>Kriterien!R125</f>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O122" s="428" t="str">
        <f>Kriterien!S125</f>
        <v>Une surface de dépose et un pupitre destinés aux feuilles de prescription et de surveillance du patient ainsi qu'aux analyses/bilans, ECG et résultats de laboratoire. Ce genre d'installation peut être remplacé par un système informatique (ordinateur) avec possibilité de saisie des données et utilisation au lit du patient.</v>
      </c>
      <c r="P122" s="412" t="str">
        <f t="shared" si="12"/>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Q122" s="415" t="str">
        <f>Kriterien!U125</f>
        <v>Visitation</v>
      </c>
      <c r="R122" s="416" t="str">
        <f>Kriterien!V125</f>
        <v>Visite</v>
      </c>
      <c r="S122" s="412" t="str">
        <f t="shared" si="13"/>
        <v>Visitation</v>
      </c>
      <c r="U122" s="799"/>
      <c r="V122" s="2041"/>
    </row>
    <row r="123" spans="1:22" s="21" customFormat="1" ht="18">
      <c r="A123" s="526"/>
      <c r="B123" s="300"/>
      <c r="C123" s="50" t="s">
        <v>243</v>
      </c>
      <c r="D123" s="115" t="str">
        <f t="shared" si="14"/>
        <v>Ein Nachttischchen für die persönlichen Gegenstände des Patienten.</v>
      </c>
      <c r="E123" s="6" t="str">
        <f t="shared" si="15"/>
        <v>Visitation</v>
      </c>
      <c r="F123" s="162"/>
      <c r="J123" s="2041"/>
      <c r="K123" s="799"/>
      <c r="N123" s="415" t="str">
        <f>Kriterien!R126</f>
        <v>Ein Nachttischchen für die persönlichen Gegenstände des Patienten.</v>
      </c>
      <c r="O123" s="428" t="str">
        <f>Kriterien!S126</f>
        <v>Une table de nuit pour les effets personnels du patient.</v>
      </c>
      <c r="P123" s="412" t="str">
        <f t="shared" si="12"/>
        <v>Ein Nachttischchen für die persönlichen Gegenstände des Patienten.</v>
      </c>
      <c r="Q123" s="415" t="str">
        <f>Kriterien!U126</f>
        <v>Visitation</v>
      </c>
      <c r="R123" s="416" t="str">
        <f>Kriterien!V126</f>
        <v>Visite</v>
      </c>
      <c r="S123" s="412" t="str">
        <f t="shared" si="13"/>
        <v>Visitation</v>
      </c>
      <c r="U123" s="799"/>
      <c r="V123" s="2041"/>
    </row>
    <row r="124" spans="1:22" s="21" customFormat="1" ht="61">
      <c r="A124" s="526"/>
      <c r="B124" s="300"/>
      <c r="C124" s="50" t="s">
        <v>244</v>
      </c>
      <c r="D124" s="115" t="str">
        <f t="shared" si="14"/>
        <v>Wandschienen oder Äquivalente auf einer Höhe von zirka 40 und 120 cm zur Fixierung von Pflegeutensilien, Therapie- und Überwachungsgeräten. Deckenschienen und/oder Konsolen zur Aufhängung von Infusionen, Per-fusoren, Infusomaten und anderen Apparaturen.</v>
      </c>
      <c r="E124" s="6" t="str">
        <f t="shared" si="15"/>
        <v>Visitation</v>
      </c>
      <c r="F124" s="162"/>
      <c r="J124" s="2041"/>
      <c r="K124"/>
      <c r="N124" s="415" t="str">
        <f>Kriterien!R127</f>
        <v>Wandschienen oder Äquivalente auf einer Höhe von zirka 40 und 120 cm zur Fixierung von Pflegeutensilien, Therapie- und Überwachungsgeräten. Deckenschienen und/oder Konsolen zur Aufhängung von Infusionen, Per-fusoren, Infusomaten und anderen Apparaturen.</v>
      </c>
      <c r="O124" s="428" t="str">
        <f>Kriterien!S127</f>
        <v>Des rails muraux ou équivalents fixés à environ 40 et 120 cm du sol, et destinés à l'ancrage des dispositifs de soins, traitement et monitorage. Des consoles et/ou tringles suspendues au plafond dans le but d'y accrocher les perfusions, pousse-seringues, pompes volumétriques ou autres appareils.</v>
      </c>
      <c r="P124" s="412" t="str">
        <f t="shared" si="12"/>
        <v>Wandschienen oder Äquivalente auf einer Höhe von zirka 40 und 120 cm zur Fixierung von Pflegeutensilien, Therapie- und Überwachungsgeräten. Deckenschienen und/oder Konsolen zur Aufhängung von Infusionen, Per-fusoren, Infusomaten und anderen Apparaturen.</v>
      </c>
      <c r="Q124" s="415" t="str">
        <f>Kriterien!U127</f>
        <v>Visitation</v>
      </c>
      <c r="R124" s="416" t="str">
        <f>Kriterien!V127</f>
        <v>Visite</v>
      </c>
      <c r="S124" s="412" t="str">
        <f t="shared" si="13"/>
        <v>Visitation</v>
      </c>
      <c r="U124"/>
      <c r="V124" s="2041"/>
    </row>
    <row r="125" spans="1:22" s="21" customFormat="1" ht="42">
      <c r="A125" s="526"/>
      <c r="B125" s="300"/>
      <c r="C125" s="50" t="s">
        <v>245</v>
      </c>
      <c r="D125" s="115" t="str">
        <f t="shared" si="14"/>
        <v>Die Anordnung der Einrichtungen muss mit den vorhandenen Mitteln in einer Weise möglich sein, dass sie selbst frei zugänglich bleiben und auch der Zugang zum Patienten nicht behindert wird.</v>
      </c>
      <c r="E125" s="6" t="str">
        <f t="shared" si="15"/>
        <v>Visitation</v>
      </c>
      <c r="F125" s="162"/>
      <c r="J125" s="2041"/>
      <c r="K125"/>
      <c r="N125" s="415" t="str">
        <f>Kriterien!R128</f>
        <v>Die Anordnung der Einrichtungen muss mit den vorhandenen Mitteln in einer Weise möglich sein, dass sie selbst frei zugänglich bleiben und auch der Zugang zum Patienten nicht behindert wird.</v>
      </c>
      <c r="O125" s="428" t="str">
        <f>Kriterien!S128</f>
        <v>Compte tenu des moyens disponibles, l’agencement des équipements doit être conçu de manière à être aisément accessibles sans entraver l’accès au patient.</v>
      </c>
      <c r="P125" s="412" t="str">
        <f t="shared" si="12"/>
        <v>Die Anordnung der Einrichtungen muss mit den vorhandenen Mitteln in einer Weise möglich sein, dass sie selbst frei zugänglich bleiben und auch der Zugang zum Patienten nicht behindert wird.</v>
      </c>
      <c r="Q125" s="415" t="str">
        <f>Kriterien!U128</f>
        <v>Visitation</v>
      </c>
      <c r="R125" s="416" t="str">
        <f>Kriterien!V128</f>
        <v>Visite</v>
      </c>
      <c r="S125" s="412" t="str">
        <f t="shared" si="13"/>
        <v>Visitation</v>
      </c>
      <c r="U125"/>
      <c r="V125" s="2041"/>
    </row>
    <row r="126" spans="1:22" s="21" customFormat="1" ht="18">
      <c r="A126" s="432"/>
      <c r="B126" s="432"/>
      <c r="C126" s="39">
        <v>4</v>
      </c>
      <c r="D126" s="3" t="str">
        <f t="shared" si="14"/>
        <v>Personal</v>
      </c>
      <c r="E126" s="34" t="str">
        <f t="shared" si="15"/>
        <v/>
      </c>
      <c r="F126" s="254"/>
      <c r="J126" s="2041"/>
      <c r="K126"/>
      <c r="N126" s="415" t="str">
        <f>Kriterien!R129</f>
        <v>Personal</v>
      </c>
      <c r="O126" s="428" t="str">
        <f>Kriterien!S129</f>
        <v>Personnel</v>
      </c>
      <c r="P126" s="412" t="str">
        <f t="shared" si="12"/>
        <v>Personal</v>
      </c>
      <c r="Q126" s="415">
        <f>Kriterien!U129</f>
        <v>0</v>
      </c>
      <c r="R126" s="416">
        <f>Kriterien!V129</f>
        <v>0</v>
      </c>
      <c r="S126" s="412" t="str">
        <f t="shared" si="13"/>
        <v/>
      </c>
      <c r="U126"/>
      <c r="V126" s="2041"/>
    </row>
    <row r="127" spans="1:22" s="21" customFormat="1" ht="18">
      <c r="A127" s="526"/>
      <c r="B127" s="433"/>
      <c r="C127" s="40">
        <v>4.0999999999999996</v>
      </c>
      <c r="D127" s="9" t="str">
        <f t="shared" si="14"/>
        <v>Ärztlicher Dienst</v>
      </c>
      <c r="E127" s="32" t="str">
        <f t="shared" si="15"/>
        <v/>
      </c>
      <c r="F127" s="162"/>
      <c r="J127" s="2041"/>
      <c r="K127"/>
      <c r="N127" s="415" t="str">
        <f>Kriterien!R130</f>
        <v>Ärztlicher Dienst</v>
      </c>
      <c r="O127" s="428" t="str">
        <f>Kriterien!S130</f>
        <v>Couverture médicale</v>
      </c>
      <c r="P127" s="412" t="str">
        <f t="shared" si="12"/>
        <v>Ärztlicher Dienst</v>
      </c>
      <c r="Q127" s="415">
        <f>Kriterien!U130</f>
        <v>0</v>
      </c>
      <c r="R127" s="416">
        <f>Kriterien!V130</f>
        <v>0</v>
      </c>
      <c r="S127" s="412" t="str">
        <f t="shared" si="13"/>
        <v/>
      </c>
      <c r="U127"/>
      <c r="V127" s="2041"/>
    </row>
    <row r="128" spans="1:22" s="21" customFormat="1" ht="18">
      <c r="A128" s="526"/>
      <c r="B128" s="433"/>
      <c r="C128" s="43" t="s">
        <v>93</v>
      </c>
      <c r="D128" s="54" t="str">
        <f t="shared" si="14"/>
        <v>Der ärztliche Leiter</v>
      </c>
      <c r="E128" s="33" t="str">
        <f t="shared" si="15"/>
        <v/>
      </c>
      <c r="F128" s="162"/>
      <c r="J128" s="2041"/>
      <c r="K128"/>
      <c r="N128" s="415" t="str">
        <f>Kriterien!R131</f>
        <v>Der ärztliche Leiter</v>
      </c>
      <c r="O128" s="428" t="str">
        <f>Kriterien!S131</f>
        <v>Le médecin responsable de l'USI</v>
      </c>
      <c r="P128" s="412" t="str">
        <f t="shared" si="12"/>
        <v>Der ärztliche Leiter</v>
      </c>
      <c r="Q128" s="415">
        <f>Kriterien!U131</f>
        <v>0</v>
      </c>
      <c r="R128" s="416">
        <f>Kriterien!V131</f>
        <v>0</v>
      </c>
      <c r="S128" s="412" t="str">
        <f t="shared" si="13"/>
        <v/>
      </c>
      <c r="U128"/>
      <c r="V128" s="2041"/>
    </row>
    <row r="129" spans="1:22" s="21" customFormat="1" ht="28">
      <c r="A129" s="527"/>
      <c r="B129" s="433"/>
      <c r="C129" s="42" t="s">
        <v>246</v>
      </c>
      <c r="D129" s="115" t="str">
        <f t="shared" si="14"/>
        <v>Medizinisch und administrativ verantwortlich für die IS (zum Teil gemeinsam mit der pflegerischen Leitung)</v>
      </c>
      <c r="E129" s="6" t="str">
        <f t="shared" si="15"/>
        <v>Reglement und Visitation</v>
      </c>
      <c r="F129" s="162"/>
      <c r="J129" s="2041"/>
      <c r="K129"/>
      <c r="N129" s="415" t="str">
        <f>Kriterien!R132</f>
        <v>Medizinisch und administrativ verantwortlich für die IS (zum Teil gemeinsam mit der pflegerischen Leitung)</v>
      </c>
      <c r="O129" s="428" t="str">
        <f>Kriterien!S132</f>
        <v>Il est le responsable médical et administratif de l'unité des soins intensifs (et partage en partie sa mission avec le responsable des soins infirmiers).</v>
      </c>
      <c r="P129" s="412" t="str">
        <f t="shared" si="12"/>
        <v>Medizinisch und administrativ verantwortlich für die IS (zum Teil gemeinsam mit der pflegerischen Leitung)</v>
      </c>
      <c r="Q129" s="415" t="str">
        <f>Kriterien!U132</f>
        <v>Reglement und Visitation</v>
      </c>
      <c r="R129" s="416" t="str">
        <f>Kriterien!V132</f>
        <v>Règlement et visite</v>
      </c>
      <c r="S129" s="412" t="str">
        <f t="shared" si="13"/>
        <v>Reglement und Visitation</v>
      </c>
      <c r="U129"/>
      <c r="V129" s="2041"/>
    </row>
    <row r="130" spans="1:22" s="21" customFormat="1" ht="49">
      <c r="A130" s="527"/>
      <c r="B130" s="433"/>
      <c r="C130" s="42" t="s">
        <v>247</v>
      </c>
      <c r="D130" s="5" t="str">
        <f t="shared" si="14"/>
        <v>Die administrative Verantwortung umfasst die allgemeine Organisation der IS sowie die Verbindungen mit den medizinischen und administrativen Gremien des Spitals, der SGI, der Dachorganisation, der FMH und weiteren Gremien.</v>
      </c>
      <c r="E130" s="6" t="str">
        <f t="shared" si="15"/>
        <v>Reglement und Visitation</v>
      </c>
      <c r="F130" s="162"/>
      <c r="J130" s="2041"/>
      <c r="K130"/>
      <c r="N130" s="415" t="str">
        <f>Kriterien!R133</f>
        <v>Die administrative Verantwortung umfasst die allgemeine Organisation der IS sowie die Verbindungen mit den medizinischen und administrativen Gremien des Spitals, der SGI, der Dachorganisation, der FMH und weiteren Gremien.</v>
      </c>
      <c r="O130" s="428" t="str">
        <f>Kriterien!S133</f>
        <v>La responsabilité administrative comprend l'organisation générale de l’USI, ainsi que les relations avec les autorités médicales et administratives de l'hôpital, de la SSMI, de l'organisation faîtière, de la FMH et autres comités.</v>
      </c>
      <c r="P130" s="412" t="str">
        <f t="shared" si="12"/>
        <v>Die administrative Verantwortung umfasst die allgemeine Organisation der IS sowie die Verbindungen mit den medizinischen und administrativen Gremien des Spitals, der SGI, der Dachorganisation, der FMH und weiteren Gremien.</v>
      </c>
      <c r="Q130" s="415" t="str">
        <f>Kriterien!U133</f>
        <v>Reglement und Visitation</v>
      </c>
      <c r="R130" s="416" t="str">
        <f>Kriterien!V133</f>
        <v>Règlement et visite</v>
      </c>
      <c r="S130" s="412" t="str">
        <f t="shared" si="13"/>
        <v>Reglement und Visitation</v>
      </c>
      <c r="U130"/>
      <c r="V130" s="2041"/>
    </row>
    <row r="131" spans="1:22" s="21" customFormat="1" ht="61">
      <c r="A131" s="527"/>
      <c r="B131" s="433"/>
      <c r="C131" s="42" t="s">
        <v>248</v>
      </c>
      <c r="D131" s="51" t="str">
        <f t="shared" si="14"/>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E131" s="6" t="str">
        <f t="shared" si="15"/>
        <v>Reglement und Visitation</v>
      </c>
      <c r="F131" s="162"/>
      <c r="J131" s="2041"/>
      <c r="K131"/>
      <c r="N131" s="415" t="str">
        <f>Kriterien!R134</f>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O131" s="428" t="str">
        <f>Kriterien!S134</f>
        <v>La prise en charge de tous les patients dans l’USI est sous la direction et la responsabilité du médecin responsable de l’Unité. Il peut déléguer certaines tâches tant à ses collaborateurs médicaux qu'à des médecins d'autres disciplines, et ce dans le champ de compétences spécifique de ces derniers.</v>
      </c>
      <c r="P131" s="412" t="str">
        <f t="shared" si="12"/>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Q131" s="415" t="str">
        <f>Kriterien!U134</f>
        <v>Reglement und Visitation</v>
      </c>
      <c r="R131" s="416" t="str">
        <f>Kriterien!V134</f>
        <v>Règlement et visite</v>
      </c>
      <c r="S131" s="412" t="str">
        <f t="shared" si="13"/>
        <v>Reglement und Visitation</v>
      </c>
      <c r="U131"/>
      <c r="V131" s="2041"/>
    </row>
    <row r="132" spans="1:22" s="21" customFormat="1" ht="28">
      <c r="A132" s="527"/>
      <c r="B132" s="433"/>
      <c r="C132" s="42" t="s">
        <v>249</v>
      </c>
      <c r="D132" s="7" t="str">
        <f t="shared" si="14"/>
        <v xml:space="preserve">Er ist verantwortlich für die intensivmedizinischen Behandlungs-Richtlinien und deren Umsetzung. </v>
      </c>
      <c r="E132" s="6" t="str">
        <f t="shared" si="15"/>
        <v>Reglement und Visitation</v>
      </c>
      <c r="F132" s="162"/>
      <c r="J132" s="2041"/>
      <c r="K132" s="799"/>
      <c r="N132" s="415" t="str">
        <f>Kriterien!R135</f>
        <v xml:space="preserve">Er ist verantwortlich für die intensivmedizinischen Behandlungs-Richtlinien und deren Umsetzung. </v>
      </c>
      <c r="O132" s="428" t="str">
        <f>Kriterien!S135</f>
        <v xml:space="preserve">Il est responsable des directives médicales aux soins intensifs et de leur application. </v>
      </c>
      <c r="P132" s="412" t="str">
        <f t="shared" si="12"/>
        <v xml:space="preserve">Er ist verantwortlich für die intensivmedizinischen Behandlungs-Richtlinien und deren Umsetzung. </v>
      </c>
      <c r="Q132" s="415" t="str">
        <f>Kriterien!U135</f>
        <v>Reglement und Visitation</v>
      </c>
      <c r="R132" s="416" t="str">
        <f>Kriterien!V135</f>
        <v>Règlement et visite</v>
      </c>
      <c r="S132" s="412" t="str">
        <f t="shared" si="13"/>
        <v>Reglement und Visitation</v>
      </c>
      <c r="U132" s="799"/>
      <c r="V132" s="2041"/>
    </row>
    <row r="133" spans="1:22" s="21" customFormat="1" ht="42">
      <c r="A133" s="527"/>
      <c r="B133" s="433"/>
      <c r="C133" s="42" t="s">
        <v>250</v>
      </c>
      <c r="D133" s="13" t="str">
        <f t="shared" si="14"/>
        <v xml:space="preserve">Der ärztliche Leiter oder die von ihm bezeichneten für die IS zuständigen Ärzte sind verantwortlich für die Bettendisposition der IS und entscheiden über Aufnahme und Entlassung von Patienten. </v>
      </c>
      <c r="E133" s="6" t="str">
        <f t="shared" si="15"/>
        <v>Reglement und Visitation</v>
      </c>
      <c r="F133" s="162"/>
      <c r="J133" s="2041"/>
      <c r="K133" s="799"/>
      <c r="N133" s="415" t="str">
        <f>Kriterien!R136</f>
        <v xml:space="preserve">Der ärztliche Leiter oder die von ihm bezeichneten für die IS zuständigen Ärzte sind verantwortlich für die Bettendisposition der IS und entscheiden über Aufnahme und Entlassung von Patienten. </v>
      </c>
      <c r="O133" s="428" t="str">
        <f>Kriterien!S136</f>
        <v xml:space="preserve">Le responsable médical ou les médecins désignés par lui au sein de l'USI sont responsables de la gestion du flux dans l'Unité et décident de l'admission et de la sortie des patients. </v>
      </c>
      <c r="P133" s="412" t="str">
        <f t="shared" si="12"/>
        <v xml:space="preserve">Der ärztliche Leiter oder die von ihm bezeichneten für die IS zuständigen Ärzte sind verantwortlich für die Bettendisposition der IS und entscheiden über Aufnahme und Entlassung von Patienten. </v>
      </c>
      <c r="Q133" s="415" t="str">
        <f>Kriterien!U136</f>
        <v>Reglement und Visitation</v>
      </c>
      <c r="R133" s="416" t="str">
        <f>Kriterien!V136</f>
        <v>Règlement et visite</v>
      </c>
      <c r="S133" s="412" t="str">
        <f t="shared" si="13"/>
        <v>Reglement und Visitation</v>
      </c>
      <c r="U133" s="799"/>
      <c r="V133" s="2041"/>
    </row>
    <row r="134" spans="1:22" s="21" customFormat="1" ht="37">
      <c r="A134" s="527"/>
      <c r="B134" s="433"/>
      <c r="C134" s="42" t="s">
        <v>251</v>
      </c>
      <c r="D134" s="115" t="str">
        <f t="shared" si="14"/>
        <v>Der ärztliche Leiter ist für die Organisation und Durchführung der Weiter- und Fortbildung von Ärzteschaft und Pflegepersonal der IS mitverantwortlich und daran mitbeteiligt.</v>
      </c>
      <c r="E134" s="6" t="str">
        <f t="shared" si="15"/>
        <v>Reglement und Visitation</v>
      </c>
      <c r="F134" s="162"/>
      <c r="J134" s="2041"/>
      <c r="K134" s="799"/>
      <c r="N134" s="415" t="str">
        <f>Kriterien!R137</f>
        <v>Der ärztliche Leiter ist für die Organisation und Durchführung der Weiter- und Fortbildung von Ärzteschaft und Pflegepersonal der IS mitverantwortlich und daran mitbeteiligt.</v>
      </c>
      <c r="O134" s="428" t="str">
        <f>Kriterien!S137</f>
        <v>Il est co-responsable de l’organisation des formations postgraduées et continues en médecine intensive des médecins et du personnel soignant de l'USI et il y participe.</v>
      </c>
      <c r="P134" s="412" t="str">
        <f t="shared" si="12"/>
        <v>Der ärztliche Leiter ist für die Organisation und Durchführung der Weiter- und Fortbildung von Ärzteschaft und Pflegepersonal der IS mitverantwortlich und daran mitbeteiligt.</v>
      </c>
      <c r="Q134" s="415" t="str">
        <f>Kriterien!U137</f>
        <v>Reglement und Visitation</v>
      </c>
      <c r="R134" s="416" t="str">
        <f>Kriterien!V137</f>
        <v>Règlement et visite</v>
      </c>
      <c r="S134" s="412" t="str">
        <f t="shared" si="13"/>
        <v>Reglement und Visitation</v>
      </c>
      <c r="U134" s="799"/>
      <c r="V134" s="2041"/>
    </row>
    <row r="135" spans="1:22" s="21" customFormat="1" ht="69.75" customHeight="1">
      <c r="A135" s="527"/>
      <c r="B135" s="433"/>
      <c r="C135" s="42" t="s">
        <v>252</v>
      </c>
      <c r="D135" s="115" t="str">
        <f t="shared" si="14"/>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E135" s="6" t="str">
        <f t="shared" si="15"/>
        <v>Reglement und Visitation</v>
      </c>
      <c r="F135" s="162"/>
      <c r="J135" s="2041"/>
      <c r="K135" s="799"/>
      <c r="N135" s="415" t="str">
        <f>Kriterien!R138</f>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O135" s="428" t="str">
        <f>Kriterien!S138</f>
        <v>Il est porteur du titre fédéral de spécialiste en médecine intensive. À titre exceptionnel, le comité de la SSMI peut reconnaître une unité de soins dont le responsable n'est pas porteur du titre fédéral, mais qui dispose toutefois d'un titre équivalent à la formation fédérale postgraduée en médecine intensive. La confirmation de l'équivalence à la formation en médecine intensive ne peut être délivrée que par le comité de la SSMI.</v>
      </c>
      <c r="P135" s="412" t="str">
        <f t="shared" si="12"/>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Q135" s="415" t="str">
        <f>Kriterien!U138</f>
        <v>Reglement und Visitation</v>
      </c>
      <c r="R135" s="416" t="str">
        <f>Kriterien!V138</f>
        <v>Règlement et visite</v>
      </c>
      <c r="S135" s="412" t="str">
        <f t="shared" si="13"/>
        <v>Reglement und Visitation</v>
      </c>
      <c r="U135" s="799"/>
      <c r="V135" s="2041"/>
    </row>
    <row r="136" spans="1:22" s="21" customFormat="1" ht="37">
      <c r="A136" s="527"/>
      <c r="B136" s="433"/>
      <c r="C136" s="42" t="s">
        <v>253</v>
      </c>
      <c r="D136" s="115" t="str">
        <f t="shared" si="14"/>
        <v>Der ärztliche Leiter ist in dieser Funktion unbefristet angestellt. In einem Rotationssystem sind Leitungswechsel höchstens alle 3 Jahre erlaubt.</v>
      </c>
      <c r="E136" s="6" t="str">
        <f t="shared" si="15"/>
        <v>Reglement und Visitation</v>
      </c>
      <c r="F136" s="162"/>
      <c r="J136" s="2041"/>
      <c r="K136" s="799"/>
      <c r="N136" s="415" t="str">
        <f>Kriterien!R139</f>
        <v>Der ärztliche Leiter ist in dieser Funktion unbefristet angestellt. In einem Rotationssystem sind Leitungswechsel höchstens alle 3 Jahre erlaubt.</v>
      </c>
      <c r="O136" s="428" t="str">
        <f>Kriterien!S139</f>
        <v>Le responsable médical est engagé à ce poste pour une durée illimitée. Un changement de direction n'est autorisé, dans un système de rotation, au plus tôt après trois ans .</v>
      </c>
      <c r="P136" s="412" t="str">
        <f t="shared" si="12"/>
        <v>Der ärztliche Leiter ist in dieser Funktion unbefristet angestellt. In einem Rotationssystem sind Leitungswechsel höchstens alle 3 Jahre erlaubt.</v>
      </c>
      <c r="Q136" s="415" t="str">
        <f>Kriterien!U139</f>
        <v>Reglement und Visitation</v>
      </c>
      <c r="R136" s="416" t="str">
        <f>Kriterien!V139</f>
        <v>Règlement et visite</v>
      </c>
      <c r="S136" s="412" t="str">
        <f t="shared" si="13"/>
        <v>Reglement und Visitation</v>
      </c>
      <c r="U136" s="799"/>
      <c r="V136" s="2041"/>
    </row>
    <row r="137" spans="1:22" s="21" customFormat="1" ht="57" customHeight="1">
      <c r="A137" s="527"/>
      <c r="B137" s="433"/>
      <c r="C137" s="42" t="s">
        <v>254</v>
      </c>
      <c r="D137" s="115" t="str">
        <f t="shared" si="14"/>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E137" s="6" t="str">
        <f t="shared" si="15"/>
        <v>Reglement und Visitation</v>
      </c>
      <c r="F137" s="162"/>
      <c r="J137" s="2041"/>
      <c r="K137"/>
      <c r="N137" s="415" t="str">
        <f>Kriterien!R140</f>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O137" s="428" t="str">
        <f>Kriterien!S140</f>
        <v>Le médecin responsable doit avoir un suppléant porteur d’un titre de spécialiste fédéral (ou d’un certificat d’équivalence) en médecine intensive ou en anesthésie/médecine interne/chirurgie/pédiatrie, pouvant prouver 6 mois de formation postgraduée en médecine intensive.</v>
      </c>
      <c r="P137" s="412" t="str">
        <f t="shared" si="12"/>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Q137" s="415" t="str">
        <f>Kriterien!U140</f>
        <v>Reglement und Visitation</v>
      </c>
      <c r="R137" s="416" t="str">
        <f>Kriterien!V140</f>
        <v>Règlement et visite</v>
      </c>
      <c r="S137" s="412" t="str">
        <f t="shared" si="13"/>
        <v>Reglement und Visitation</v>
      </c>
      <c r="U137"/>
      <c r="V137" s="2041"/>
    </row>
    <row r="138" spans="1:22" s="21" customFormat="1" ht="63" customHeight="1">
      <c r="A138" s="527"/>
      <c r="B138" s="433"/>
      <c r="C138" s="42" t="s">
        <v>255</v>
      </c>
      <c r="D138" s="115" t="str">
        <f t="shared" si="14"/>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E138" s="6" t="str">
        <f t="shared" si="15"/>
        <v>Reglement und Visitation</v>
      </c>
      <c r="F138" s="162"/>
      <c r="J138" s="2041"/>
      <c r="K138"/>
      <c r="N138" s="415" t="str">
        <f>Kriterien!R141</f>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O138" s="428" t="str">
        <f>Kriterien!S141</f>
        <v>Le temps de travail minimal durant lequel le médecin responsable de l’USI et son suppléant se consacrent à l’USI (tâches administratives et formation incluses) est de 160 % pour les Unités de 12 lits ou plus, 120 % pour les Unités de 8 à 11 lits et 80 % pour les Unités plus petites (50 % pour les Unités de soins intensifs (USI) extraordinaires, correspondant au nombre de prestations réduit).</v>
      </c>
      <c r="P138" s="412" t="str">
        <f t="shared" si="12"/>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Q138" s="415" t="str">
        <f>Kriterien!U141</f>
        <v>Reglement und Visitation</v>
      </c>
      <c r="R138" s="416" t="str">
        <f>Kriterien!V141</f>
        <v>Règlement et visite</v>
      </c>
      <c r="S138" s="412" t="str">
        <f t="shared" si="13"/>
        <v>Reglement und Visitation</v>
      </c>
      <c r="U138"/>
      <c r="V138" s="2041"/>
    </row>
    <row r="139" spans="1:22" s="21" customFormat="1" ht="18">
      <c r="A139" s="526"/>
      <c r="B139" s="433"/>
      <c r="C139" s="50" t="s">
        <v>160</v>
      </c>
      <c r="D139" s="53" t="str">
        <f t="shared" si="14"/>
        <v>Dienstorganisation</v>
      </c>
      <c r="E139" s="530" t="str">
        <f t="shared" si="15"/>
        <v/>
      </c>
      <c r="F139" s="162"/>
      <c r="J139" s="2041"/>
      <c r="K139" s="799"/>
      <c r="N139" s="415" t="str">
        <f>Kriterien!R142</f>
        <v>Dienstorganisation</v>
      </c>
      <c r="O139" s="428" t="str">
        <f>Kriterien!S142</f>
        <v>Organisation de la garde</v>
      </c>
      <c r="P139" s="412" t="str">
        <f t="shared" si="12"/>
        <v>Dienstorganisation</v>
      </c>
      <c r="Q139" s="415">
        <f>Kriterien!U142</f>
        <v>0</v>
      </c>
      <c r="R139" s="416">
        <f>Kriterien!V142</f>
        <v>0</v>
      </c>
      <c r="S139" s="412" t="str">
        <f t="shared" si="13"/>
        <v/>
      </c>
      <c r="U139" s="799"/>
      <c r="V139" s="2041"/>
    </row>
    <row r="140" spans="1:22" s="21" customFormat="1" ht="72.75" customHeight="1">
      <c r="A140" s="527"/>
      <c r="B140" s="433"/>
      <c r="C140" s="42" t="s">
        <v>256</v>
      </c>
      <c r="D140" s="5" t="str">
        <f t="shared" si="14"/>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E140" s="6" t="str">
        <f t="shared" si="15"/>
        <v>Reglement und Visitation</v>
      </c>
      <c r="F140" s="162"/>
      <c r="J140" s="2041"/>
      <c r="K140"/>
      <c r="N140" s="415" t="str">
        <f>Kriterien!R143</f>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O140" s="428" t="str">
        <f>Kriterien!S143</f>
        <v xml:space="preserve">Le médecin responsable de l’USI est tenu de garantir la présence permanente à l’hôpital d'un médecin ; ce médecin est en permanence responsable des patients de l’USI et disponible pour eux. Il est nécessaire de garantir à tout instant l'éventuelle mise en œuvre immédiate des mesures médicales urgentes (telles que réanimation, intubation, mise en place d’un cathéter artériel et veineux central, drainage thoracique [liste non exhaustive]). </v>
      </c>
      <c r="P140" s="412" t="str">
        <f t="shared" si="12"/>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Q140" s="415" t="str">
        <f>Kriterien!U143</f>
        <v>Reglement und Visitation</v>
      </c>
      <c r="R140" s="416" t="str">
        <f>Kriterien!V143</f>
        <v>Règlement et visite</v>
      </c>
      <c r="S140" s="412" t="str">
        <f t="shared" si="13"/>
        <v>Reglement und Visitation</v>
      </c>
      <c r="U140"/>
      <c r="V140" s="2041"/>
    </row>
    <row r="141" spans="1:22" s="21" customFormat="1" ht="152" customHeight="1">
      <c r="A141" s="527"/>
      <c r="B141" s="433"/>
      <c r="C141" s="42" t="s">
        <v>257</v>
      </c>
      <c r="D141" s="5" t="str">
        <f t="shared" si="14"/>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E141" s="6" t="str">
        <f t="shared" si="15"/>
        <v>Reglement und Visitation</v>
      </c>
      <c r="F141" s="162"/>
      <c r="J141" s="2041"/>
      <c r="K141"/>
      <c r="N141" s="415" t="str">
        <f>Kriterien!R144</f>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O141" s="428" t="str">
        <f>Kriterien!S144</f>
        <v>Un médecin-cadre pour l’USI, porteur d’un titre fédéral en médecine intensive – le cas échéant en anesthésiologie/médecine interne/chirurgie/pédiatrie – avec une formation d’au moins 6 mois en médecine intensive - doit être présent dans l’hôpital ou opérationnel le cas échéant dans un délai de 30 minutes si le médecin de garde de l'USI ne possède pas cette qualification. La fonction de médecin cadre responsable est exercée à tout moment par une seule personne, qui est le seul interlocuteur du médecin du service et de l'équipe soignante. Il n'est donc pas admissible qu'en fonction du diagnostic ou du type de thérapie de médecine intensive (p.ex. "médicale", "chirurgicale", ventilée, non ventilée), différents médecins-cadres soient responsables des patients des USI pendant la même équipe.</v>
      </c>
      <c r="P141" s="412" t="str">
        <f t="shared" si="12"/>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Q141" s="415" t="str">
        <f>Kriterien!U144</f>
        <v>Reglement und Visitation</v>
      </c>
      <c r="R141" s="416" t="str">
        <f>Kriterien!V144</f>
        <v>Règlement et visite</v>
      </c>
      <c r="S141" s="412" t="str">
        <f t="shared" si="13"/>
        <v>Reglement und Visitation</v>
      </c>
      <c r="U141"/>
      <c r="V141" s="2041"/>
    </row>
    <row r="142" spans="1:22" s="21" customFormat="1" ht="18">
      <c r="A142" s="526"/>
      <c r="B142" s="433"/>
      <c r="C142" s="44" t="s">
        <v>161</v>
      </c>
      <c r="D142" s="54" t="str">
        <f t="shared" si="14"/>
        <v>Assistenz-, Ober- und/oder Kaderärzte, Fachärzte</v>
      </c>
      <c r="E142" s="28" t="str">
        <f t="shared" si="15"/>
        <v/>
      </c>
      <c r="F142" s="162"/>
      <c r="J142" s="2041"/>
      <c r="K142"/>
      <c r="N142" s="415" t="str">
        <f>Kriterien!R145</f>
        <v>Assistenz-, Ober- und/oder Kaderärzte, Fachärzte</v>
      </c>
      <c r="O142" s="428" t="str">
        <f>Kriterien!S145</f>
        <v>Médecins-assistants, chefs de clinique et/ou médecins-cadres, spécialistes</v>
      </c>
      <c r="P142" s="412" t="str">
        <f t="shared" si="12"/>
        <v>Assistenz-, Ober- und/oder Kaderärzte, Fachärzte</v>
      </c>
      <c r="Q142" s="415">
        <f>Kriterien!U145</f>
        <v>0</v>
      </c>
      <c r="R142" s="416">
        <f>Kriterien!V145</f>
        <v>0</v>
      </c>
      <c r="S142" s="412" t="str">
        <f t="shared" si="13"/>
        <v/>
      </c>
      <c r="U142"/>
      <c r="V142" s="2041"/>
    </row>
    <row r="143" spans="1:22" s="21" customFormat="1" ht="37">
      <c r="A143" s="527"/>
      <c r="B143" s="433"/>
      <c r="C143" s="42" t="s">
        <v>258</v>
      </c>
      <c r="D143" s="115" t="str">
        <f t="shared" si="14"/>
        <v>Alle Ärzte der IS sind dem ärztlichen Leiter der IS und den zuständigen Kaderärzten der IS in jedem Fall fachlich und führungsmässig direkt unterstellt.</v>
      </c>
      <c r="E143" s="6" t="str">
        <f t="shared" si="15"/>
        <v>Reglement und Visitation</v>
      </c>
      <c r="F143" s="162"/>
      <c r="J143" s="2041"/>
      <c r="K143"/>
      <c r="N143" s="415" t="str">
        <f>Kriterien!R146</f>
        <v>Alle Ärzte der IS sind dem ärztlichen Leiter der IS und den zuständigen Kaderärzten der IS in jedem Fall fachlich und führungsmässig direkt unterstellt.</v>
      </c>
      <c r="O143" s="428" t="str">
        <f>Kriterien!S146</f>
        <v>Tous les médecins de l’USI sont directement subordonnés au médecin responsable et aux médecins-cadres de l'USI, tant au niveau médical que hiérarchique.</v>
      </c>
      <c r="P143" s="412" t="str">
        <f t="shared" si="12"/>
        <v>Alle Ärzte der IS sind dem ärztlichen Leiter der IS und den zuständigen Kaderärzten der IS in jedem Fall fachlich und führungsmässig direkt unterstellt.</v>
      </c>
      <c r="Q143" s="415" t="str">
        <f>Kriterien!U146</f>
        <v>Reglement und Visitation</v>
      </c>
      <c r="R143" s="416" t="str">
        <f>Kriterien!V146</f>
        <v>Règlement et visite</v>
      </c>
      <c r="S143" s="412" t="str">
        <f t="shared" si="13"/>
        <v>Reglement und Visitation</v>
      </c>
      <c r="U143"/>
      <c r="V143" s="2041"/>
    </row>
    <row r="144" spans="1:22" s="21" customFormat="1" ht="49">
      <c r="A144" s="527"/>
      <c r="B144" s="433"/>
      <c r="C144" s="42" t="s">
        <v>259</v>
      </c>
      <c r="D144" s="115" t="str">
        <f t="shared" si="14"/>
        <v>Ärzte in Weiterbildung haben Anrecht auf das Ausstellen der zutreffenden Zeugnisformulare gemäss Weiterbildungsordnung der FMH und entsprechender Weiterbildungsprogramme der Fachgesellschaften.</v>
      </c>
      <c r="E144" s="6" t="str">
        <f t="shared" si="15"/>
        <v>Reglement und Visitation</v>
      </c>
      <c r="F144" s="162"/>
      <c r="J144" s="2041"/>
      <c r="K144"/>
      <c r="N144" s="415" t="str">
        <f>Kriterien!R147</f>
        <v>Ärzte in Weiterbildung haben Anrecht auf das Ausstellen der zutreffenden Zeugnisformulare gemäss Weiterbildungsordnung der FMH und entsprechender Weiterbildungsprogramme der Fachgesellschaften.</v>
      </c>
      <c r="O144" s="428" t="str">
        <f>Kriterien!S147</f>
        <v>Les médecins en formation ont droit à la délivrance des certificats de formation conformément aux directives sur la formation postgraduée de la FMH et aux programmes de formation des sociétés spécialisées.</v>
      </c>
      <c r="P144" s="412" t="str">
        <f t="shared" si="12"/>
        <v>Ärzte in Weiterbildung haben Anrecht auf das Ausstellen der zutreffenden Zeugnisformulare gemäss Weiterbildungsordnung der FMH und entsprechender Weiterbildungsprogramme der Fachgesellschaften.</v>
      </c>
      <c r="Q144" s="415" t="str">
        <f>Kriterien!U147</f>
        <v>Reglement und Visitation</v>
      </c>
      <c r="R144" s="416" t="str">
        <f>Kriterien!V147</f>
        <v>Règlement et visite</v>
      </c>
      <c r="S144" s="412" t="str">
        <f t="shared" si="13"/>
        <v>Reglement und Visitation</v>
      </c>
      <c r="U144"/>
      <c r="V144" s="2041"/>
    </row>
    <row r="145" spans="1:22" s="21" customFormat="1" ht="73">
      <c r="A145" s="527"/>
      <c r="B145" s="433"/>
      <c r="C145" s="42" t="s">
        <v>260</v>
      </c>
      <c r="D145" s="115" t="str">
        <f t="shared" si="14"/>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E145" s="6" t="str">
        <f t="shared" si="15"/>
        <v>Reglement und Visitation</v>
      </c>
      <c r="F145" s="162"/>
      <c r="J145" s="2041"/>
      <c r="K145"/>
      <c r="N145" s="415" t="str">
        <f>Kriterien!R148</f>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O145" s="428" t="str">
        <f>Kriterien!S148</f>
        <v>Tous les médecins en formation, en particulier les médecins-assistants, sont supervisés et exercent au sein de l’équipe en fonction de leurs niveaux et objectifs de formation postgraduée. En aucun cas, des médecins en formation ne doivent être contraints – par défaut d’organisation ou absence de spécialistes  de pratiquer des actes médicaux pour lesquels ils ne sont pas qualifiés.</v>
      </c>
      <c r="P145" s="412" t="str">
        <f t="shared" si="12"/>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Q145" s="415" t="str">
        <f>Kriterien!U148</f>
        <v>Reglement und Visitation</v>
      </c>
      <c r="R145" s="416" t="str">
        <f>Kriterien!V148</f>
        <v>Règlement et visite</v>
      </c>
      <c r="S145" s="412" t="str">
        <f t="shared" si="13"/>
        <v>Reglement und Visitation</v>
      </c>
      <c r="U145"/>
      <c r="V145" s="2041"/>
    </row>
    <row r="146" spans="1:22" s="21" customFormat="1" ht="25">
      <c r="A146" s="527"/>
      <c r="B146" s="433"/>
      <c r="C146" s="45" t="s">
        <v>261</v>
      </c>
      <c r="D146" s="115" t="str">
        <f t="shared" si="14"/>
        <v>Assistenzärzte sind der IS für eine Zeitdauer von mindestens 3 Monaten zugeteilt.</v>
      </c>
      <c r="E146" s="6" t="str">
        <f t="shared" si="15"/>
        <v>Reglement und Visitation</v>
      </c>
      <c r="F146" s="162"/>
      <c r="J146" s="2041"/>
      <c r="K146"/>
      <c r="N146" s="415" t="str">
        <f>Kriterien!R149</f>
        <v>Assistenzärzte sind der IS für eine Zeitdauer von mindestens 3 Monaten zugeteilt.</v>
      </c>
      <c r="O146" s="428" t="str">
        <f>Kriterien!S149</f>
        <v>Les médecins-assistants sont affectés à l'USI pour des périodes d'au moins trois mois.</v>
      </c>
      <c r="P146" s="412" t="str">
        <f t="shared" si="12"/>
        <v>Assistenzärzte sind der IS für eine Zeitdauer von mindestens 3 Monaten zugeteilt.</v>
      </c>
      <c r="Q146" s="415" t="str">
        <f>Kriterien!U149</f>
        <v>Reglement und Visitation</v>
      </c>
      <c r="R146" s="416" t="str">
        <f>Kriterien!V149</f>
        <v>Règlement et visite</v>
      </c>
      <c r="S146" s="412" t="str">
        <f t="shared" si="13"/>
        <v>Reglement und Visitation</v>
      </c>
      <c r="U146"/>
      <c r="V146" s="2041"/>
    </row>
    <row r="147" spans="1:22" s="21" customFormat="1" ht="18">
      <c r="A147" s="526"/>
      <c r="B147" s="433"/>
      <c r="C147" s="50" t="s">
        <v>162</v>
      </c>
      <c r="D147" s="53" t="str">
        <f t="shared" si="14"/>
        <v>Hintergrunddienst</v>
      </c>
      <c r="E147" s="32" t="str">
        <f t="shared" si="15"/>
        <v/>
      </c>
      <c r="F147" s="162"/>
      <c r="J147" s="2041"/>
      <c r="K147"/>
      <c r="N147" s="415" t="str">
        <f>Kriterien!R150</f>
        <v>Hintergrunddienst</v>
      </c>
      <c r="O147" s="428" t="str">
        <f>Kriterien!S150</f>
        <v>Service de piquet</v>
      </c>
      <c r="P147" s="412" t="str">
        <f t="shared" si="12"/>
        <v>Hintergrunddienst</v>
      </c>
      <c r="Q147" s="415">
        <f>Kriterien!U150</f>
        <v>0</v>
      </c>
      <c r="R147" s="416">
        <f>Kriterien!V150</f>
        <v>0</v>
      </c>
      <c r="S147" s="412" t="str">
        <f t="shared" si="13"/>
        <v/>
      </c>
      <c r="U147"/>
      <c r="V147" s="2041"/>
    </row>
    <row r="148" spans="1:22" s="21" customFormat="1" ht="157">
      <c r="A148" s="527"/>
      <c r="B148" s="433"/>
      <c r="C148" s="42" t="s">
        <v>262</v>
      </c>
      <c r="D148" s="115" t="str">
        <f t="shared" si="14"/>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E148" s="6" t="str">
        <f t="shared" si="15"/>
        <v/>
      </c>
      <c r="F148" s="162"/>
      <c r="J148" s="2041"/>
      <c r="K148" s="799"/>
      <c r="N148" s="415" t="str">
        <f>Kriterien!R151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O148" s="428" t="str">
        <f>Kriterien!S151</f>
        <v>Un médecin porteur du titre fédéral de spécialiste en médecine intensive ou d’un titre équivalent délivré par le comité de la SSMI, répondant pour l’USI, doit être joignable en permanence et, en cas de besoin, opérationnel dans l’USI dans 1 heure. Dans un réseau défini, un seul médecin titulaire d'un titre fédéral de spécialiste en médecine intensive ou d'une attestation d'équivalence correspondante délivrée par le comité de la SSMI peut également assurer un service d'arrière-plan pour plus d'un site USI, à condition qu'un médecin cadre ou un médecin d'unité responsable des SI, titulaire d'un titre fédéral de spécialiste en médecine intensive ou en anesthésiologie/médecine interne/chirurgie/pédiatrie avec une formation postgraduée d'au moins six mois en médecine intensive, soit présent en permanence dans l'hôpital sur tous les sites.</v>
      </c>
      <c r="P148" s="412" t="str">
        <f t="shared" si="12"/>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Q148" s="415">
        <f>Kriterien!U151</f>
        <v>0</v>
      </c>
      <c r="R148" s="416">
        <f>Kriterien!V151</f>
        <v>0</v>
      </c>
      <c r="S148" s="412" t="str">
        <f t="shared" si="13"/>
        <v/>
      </c>
      <c r="U148" s="799"/>
      <c r="V148" s="2041"/>
    </row>
    <row r="149" spans="1:22" s="21" customFormat="1" ht="18">
      <c r="A149" s="526"/>
      <c r="B149" s="433"/>
      <c r="C149" s="50" t="s">
        <v>103</v>
      </c>
      <c r="D149" s="53" t="str">
        <f t="shared" si="14"/>
        <v>Konsiliardienste</v>
      </c>
      <c r="E149" s="32" t="str">
        <f t="shared" si="15"/>
        <v/>
      </c>
      <c r="F149" s="162"/>
      <c r="J149" s="2041"/>
      <c r="K149" s="799"/>
      <c r="N149" s="415" t="str">
        <f>Kriterien!R152</f>
        <v>Konsiliardienste</v>
      </c>
      <c r="O149" s="428" t="str">
        <f>Kriterien!S152</f>
        <v>Médecins consultants</v>
      </c>
      <c r="P149" s="412" t="str">
        <f t="shared" si="12"/>
        <v>Konsiliardienste</v>
      </c>
      <c r="Q149" s="415">
        <f>Kriterien!U152</f>
        <v>0</v>
      </c>
      <c r="R149" s="416">
        <f>Kriterien!V152</f>
        <v>0</v>
      </c>
      <c r="S149" s="412" t="str">
        <f t="shared" si="13"/>
        <v/>
      </c>
      <c r="U149" s="799"/>
      <c r="V149" s="2041"/>
    </row>
    <row r="150" spans="1:22" s="21" customFormat="1" ht="42">
      <c r="A150" s="527"/>
      <c r="B150" s="433"/>
      <c r="C150" s="42" t="s">
        <v>263</v>
      </c>
      <c r="D150" s="5" t="str">
        <f t="shared" si="14"/>
        <v>Je ein Vertreter jeder Grunddisziplin (Anästhesie, Innere Medizin bzw. Pädiatrie, Chirurgie bzw. Kinderchirurgie, Gynäkologie, Radiologie) muss jederzeit für Konsilien verfügbar sein.</v>
      </c>
      <c r="E150" s="6" t="str">
        <f t="shared" si="15"/>
        <v>Reglement und Visitation</v>
      </c>
      <c r="F150" s="162"/>
      <c r="J150" s="2041"/>
      <c r="K150" s="799"/>
      <c r="N150" s="415" t="str">
        <f>Kriterien!R153</f>
        <v>Je ein Vertreter jeder Grunddisziplin (Anästhesie, Innere Medizin bzw. Pädiatrie, Chirurgie bzw. Kinderchirurgie, Gynäkologie, Radiologie) muss jederzeit für Konsilien verfügbar sein.</v>
      </c>
      <c r="O150" s="428" t="str">
        <f>Kriterien!S153</f>
        <v>Un représentant de chacune des disciplines de base (anesthésie, médecine interne ou pédiatrie, chirurgie ou chirurgie pédiatrique, gynécologie, radiologie) doit être disponible à tout instant afin de pouvoir répondre aux demandes de consultation.</v>
      </c>
      <c r="P150" s="412" t="str">
        <f t="shared" ref="P150:P213" si="16">IF(N150=0,"",IF($A$1="D",N150,O150))</f>
        <v>Je ein Vertreter jeder Grunddisziplin (Anästhesie, Innere Medizin bzw. Pädiatrie, Chirurgie bzw. Kinderchirurgie, Gynäkologie, Radiologie) muss jederzeit für Konsilien verfügbar sein.</v>
      </c>
      <c r="Q150" s="415" t="str">
        <f>Kriterien!U153</f>
        <v>Reglement und Visitation</v>
      </c>
      <c r="R150" s="416" t="str">
        <f>Kriterien!V153</f>
        <v>Reglement und Visitation</v>
      </c>
      <c r="S150" s="412" t="str">
        <f t="shared" si="13"/>
        <v>Reglement und Visitation</v>
      </c>
      <c r="U150" s="799"/>
      <c r="V150" s="2041"/>
    </row>
    <row r="151" spans="1:22" s="21" customFormat="1" ht="18">
      <c r="A151" s="526"/>
      <c r="B151" s="433"/>
      <c r="C151" s="50" t="s">
        <v>106</v>
      </c>
      <c r="D151" s="55" t="str">
        <f t="shared" si="14"/>
        <v>Ärztliche Verordnungen</v>
      </c>
      <c r="E151" s="32" t="str">
        <f t="shared" si="15"/>
        <v/>
      </c>
      <c r="F151" s="162"/>
      <c r="J151" s="2041"/>
      <c r="K151" s="799"/>
      <c r="N151" s="415" t="str">
        <f>Kriterien!R154</f>
        <v>Ärztliche Verordnungen</v>
      </c>
      <c r="O151" s="428" t="str">
        <f>Kriterien!S154</f>
        <v>Prescriptions médicales</v>
      </c>
      <c r="P151" s="412" t="str">
        <f t="shared" si="16"/>
        <v>Ärztliche Verordnungen</v>
      </c>
      <c r="Q151" s="415">
        <f>Kriterien!U154</f>
        <v>0</v>
      </c>
      <c r="R151" s="416">
        <f>Kriterien!V154</f>
        <v>0</v>
      </c>
      <c r="S151" s="412" t="str">
        <f t="shared" si="13"/>
        <v/>
      </c>
      <c r="U151" s="799"/>
      <c r="V151" s="2041"/>
    </row>
    <row r="152" spans="1:22" s="21" customFormat="1" ht="25">
      <c r="A152" s="527"/>
      <c r="B152" s="433"/>
      <c r="C152" s="42" t="s">
        <v>264</v>
      </c>
      <c r="D152" s="115" t="str">
        <f t="shared" si="14"/>
        <v>Ärztliche Verordnungen werden in schriftlicher oder elektronischer Form abgegeben.</v>
      </c>
      <c r="E152" s="6" t="str">
        <f t="shared" si="15"/>
        <v>Reglement und Visitation</v>
      </c>
      <c r="F152" s="162"/>
      <c r="J152" s="2041"/>
      <c r="K152"/>
      <c r="N152" s="415" t="str">
        <f>Kriterien!R155</f>
        <v>Ärztliche Verordnungen werden in schriftlicher oder elektronischer Form abgegeben.</v>
      </c>
      <c r="O152" s="428" t="str">
        <f>Kriterien!S155</f>
        <v>Les prescriptions médicales sont délivrées par écrit ou au format électronique.</v>
      </c>
      <c r="P152" s="412" t="str">
        <f t="shared" si="16"/>
        <v>Ärztliche Verordnungen werden in schriftlicher oder elektronischer Form abgegeben.</v>
      </c>
      <c r="Q152" s="415" t="str">
        <f>Kriterien!U155</f>
        <v>Reglement und Visitation</v>
      </c>
      <c r="R152" s="416" t="str">
        <f>Kriterien!V155</f>
        <v>Reglement und Visitation</v>
      </c>
      <c r="S152" s="412" t="str">
        <f t="shared" ref="S152:S215" si="17">IF(Q152=0,"",IF($A$1="D",Q152,R152))</f>
        <v>Reglement und Visitation</v>
      </c>
      <c r="U152"/>
      <c r="V152" s="2041"/>
    </row>
    <row r="153" spans="1:22" s="21" customFormat="1" ht="61">
      <c r="A153" s="527"/>
      <c r="B153" s="433"/>
      <c r="C153" s="42" t="s">
        <v>265</v>
      </c>
      <c r="D153" s="5" t="str">
        <f t="shared" si="14"/>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E153" s="32" t="str">
        <f t="shared" si="15"/>
        <v/>
      </c>
      <c r="F153" s="162"/>
      <c r="J153" s="2041"/>
      <c r="K153"/>
      <c r="N153" s="415" t="str">
        <f>Kriterien!R156</f>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O153" s="428" t="str">
        <f>Kriterien!S156</f>
        <v>Seuls les membres de l'équipe médicale de l'USI sont habilités à faire des prescriptions médicales. Dans un esprit de bonne collaboration, ils peuvent tenir compte des propositions émises par les consultants et par les responsables médicaux des autres départements dont sont issus les patients de l’Unité.</v>
      </c>
      <c r="P153" s="412" t="str">
        <f t="shared" si="16"/>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Q153" s="415">
        <f>Kriterien!U156</f>
        <v>0</v>
      </c>
      <c r="R153" s="416">
        <f>Kriterien!V156</f>
        <v>0</v>
      </c>
      <c r="S153" s="412" t="str">
        <f t="shared" si="17"/>
        <v/>
      </c>
      <c r="U153"/>
      <c r="V153" s="2041"/>
    </row>
    <row r="154" spans="1:22" s="21" customFormat="1" ht="18">
      <c r="A154" s="526"/>
      <c r="B154" s="433"/>
      <c r="C154" s="40">
        <v>4.2</v>
      </c>
      <c r="D154" s="9" t="str">
        <f t="shared" si="14"/>
        <v>Pflegepersonal (siehe auch Tabelle zur Pflegestellenberechnung)</v>
      </c>
      <c r="E154" s="32" t="str">
        <f t="shared" si="15"/>
        <v/>
      </c>
      <c r="F154" s="162"/>
      <c r="J154" s="2041"/>
      <c r="K154"/>
      <c r="N154" s="415" t="str">
        <f>Kriterien!R157</f>
        <v>Pflegepersonal (siehe auch Tabelle zur Pflegestellenberechnung)</v>
      </c>
      <c r="O154" s="428" t="str">
        <f>Kriterien!S157</f>
        <v>Personnel soignant (voir également le tableau « Calcul pour la dotation soignante minimale »)</v>
      </c>
      <c r="P154" s="412" t="str">
        <f t="shared" si="16"/>
        <v>Pflegepersonal (siehe auch Tabelle zur Pflegestellenberechnung)</v>
      </c>
      <c r="Q154" s="415">
        <f>Kriterien!U157</f>
        <v>0</v>
      </c>
      <c r="R154" s="416">
        <f>Kriterien!V157</f>
        <v>0</v>
      </c>
      <c r="S154" s="412" t="str">
        <f t="shared" si="17"/>
        <v/>
      </c>
      <c r="U154"/>
      <c r="V154" s="2041"/>
    </row>
    <row r="155" spans="1:22" s="21" customFormat="1" ht="18">
      <c r="A155" s="526"/>
      <c r="B155" s="433"/>
      <c r="C155" s="50" t="s">
        <v>163</v>
      </c>
      <c r="D155" s="53" t="str">
        <f t="shared" si="14"/>
        <v>Pflegeleitung</v>
      </c>
      <c r="E155" s="32" t="str">
        <f t="shared" si="15"/>
        <v/>
      </c>
      <c r="F155" s="162"/>
      <c r="J155" s="2041"/>
      <c r="K155"/>
      <c r="N155" s="415" t="str">
        <f>Kriterien!R158</f>
        <v>Pflegeleitung</v>
      </c>
      <c r="O155" s="428" t="str">
        <f>Kriterien!S158</f>
        <v>Directeur du personnel soignant</v>
      </c>
      <c r="P155" s="412" t="str">
        <f t="shared" si="16"/>
        <v>Pflegeleitung</v>
      </c>
      <c r="Q155" s="415">
        <f>Kriterien!U158</f>
        <v>0</v>
      </c>
      <c r="R155" s="416">
        <f>Kriterien!V158</f>
        <v>0</v>
      </c>
      <c r="S155" s="412" t="str">
        <f t="shared" si="17"/>
        <v/>
      </c>
      <c r="U155"/>
      <c r="V155" s="2041"/>
    </row>
    <row r="156" spans="1:22" s="21" customFormat="1" ht="28">
      <c r="A156" s="527"/>
      <c r="B156" s="433"/>
      <c r="C156" s="42" t="s">
        <v>311</v>
      </c>
      <c r="D156" s="7" t="str">
        <f t="shared" si="14"/>
        <v>Fachlich und administrativ verantwortlich für die Pflege auf der IS (zum Teil gemeinsam mit der ärztlichen Leitung)</v>
      </c>
      <c r="E156" s="6" t="str">
        <f t="shared" si="15"/>
        <v>Reglement und Visitation</v>
      </c>
      <c r="F156" s="162"/>
      <c r="J156" s="2041"/>
      <c r="K156"/>
      <c r="N156" s="415" t="str">
        <f>Kriterien!R159</f>
        <v>Fachlich und administrativ verantwortlich für die Pflege auf der IS (zum Teil gemeinsam mit der ärztlichen Leitung)</v>
      </c>
      <c r="O156" s="428" t="str">
        <f>Kriterien!S159</f>
        <v>Il est le responsable infirmier et administratif des soins au sein de l'Unité (et partage en partie sa mission avec le responsable médical).</v>
      </c>
      <c r="P156" s="412" t="str">
        <f t="shared" si="16"/>
        <v>Fachlich und administrativ verantwortlich für die Pflege auf der IS (zum Teil gemeinsam mit der ärztlichen Leitung)</v>
      </c>
      <c r="Q156" s="415" t="str">
        <f>Kriterien!U159</f>
        <v>Reglement und Visitation</v>
      </c>
      <c r="R156" s="416" t="str">
        <f>Kriterien!V159</f>
        <v>Règlement et visite</v>
      </c>
      <c r="S156" s="412" t="str">
        <f t="shared" si="17"/>
        <v>Reglement und Visitation</v>
      </c>
      <c r="U156"/>
      <c r="V156" s="2041"/>
    </row>
    <row r="157" spans="1:22" s="21" customFormat="1" ht="49">
      <c r="A157" s="527"/>
      <c r="B157" s="433"/>
      <c r="C157" s="42" t="s">
        <v>266</v>
      </c>
      <c r="D157" s="63" t="str">
        <f t="shared" si="14"/>
        <v>Die administrative Verantwortung umfasst die allgemeine Organisation der IS sowie die Verbindungen mit den Pflege- und administrativen Gremien des Spitals, der SGI, des SBK und anderen Gremien (zum Teil gemeinsam mit dem ärztlichen Leiter).</v>
      </c>
      <c r="E157" s="6" t="str">
        <f t="shared" si="15"/>
        <v>Reglement und Visitation</v>
      </c>
      <c r="F157" s="162"/>
      <c r="J157" s="2041"/>
      <c r="K157"/>
      <c r="N157" s="415" t="str">
        <f>Kriterien!R160</f>
        <v>Die administrative Verantwortung umfasst die allgemeine Organisation der IS sowie die Verbindungen mit den Pflege- und administrativen Gremien des Spitals, der SGI, des SBK und anderen Gremien (zum Teil gemeinsam mit dem ärztlichen Leiter).</v>
      </c>
      <c r="O157" s="428" t="str">
        <f>Kriterien!S160</f>
        <v>La responsabilité administrative comprend l'organisation générale de l’USI, ainsi que les relations avec les comités administratifs et de soins infirmiers de l'hôpital, de la SSMI, de l'ASI et d’autres comités (ces activités étant en partie exercées avec le responsable médical).</v>
      </c>
      <c r="P157" s="412" t="str">
        <f t="shared" si="16"/>
        <v>Die administrative Verantwortung umfasst die allgemeine Organisation der IS sowie die Verbindungen mit den Pflege- und administrativen Gremien des Spitals, der SGI, des SBK und anderen Gremien (zum Teil gemeinsam mit dem ärztlichen Leiter).</v>
      </c>
      <c r="Q157" s="415" t="str">
        <f>Kriterien!U160</f>
        <v>Reglement und Visitation</v>
      </c>
      <c r="R157" s="416" t="str">
        <f>Kriterien!V160</f>
        <v>Règlement et visite</v>
      </c>
      <c r="S157" s="412" t="str">
        <f t="shared" si="17"/>
        <v>Reglement und Visitation</v>
      </c>
      <c r="U157"/>
      <c r="V157" s="2041"/>
    </row>
    <row r="158" spans="1:22" s="21" customFormat="1" ht="49">
      <c r="A158" s="527"/>
      <c r="B158" s="433"/>
      <c r="C158" s="42" t="s">
        <v>267</v>
      </c>
      <c r="D158" s="115" t="str">
        <f t="shared" si="14"/>
        <v>Die intensivpflegerische Behandlung aller Patienten der IS erfolgt unter der Leitung und Verantwortung der Pflegeleitung. Diese kann Aufgaben sowohl an ihre Mitarbeiter als auch an Pflegende ausserhalb der IS delegieren.</v>
      </c>
      <c r="E158" s="6" t="str">
        <f t="shared" si="15"/>
        <v>Reglement und Visitation</v>
      </c>
      <c r="F158" s="162"/>
      <c r="J158" s="2041"/>
      <c r="K158"/>
      <c r="N158" s="415" t="str">
        <f>Kriterien!R161</f>
        <v>Die intensivpflegerische Behandlung aller Patienten der IS erfolgt unter der Leitung und Verantwortung der Pflegeleitung. Diese kann Aufgaben sowohl an ihre Mitarbeiter als auch an Pflegende ausserhalb der IS delegieren.</v>
      </c>
      <c r="O158" s="428" t="str">
        <f>Kriterien!S161</f>
        <v>La prise en charge de tous les patients de l’USI par le personnel infirmier des soins intensifs incombe à la direction et à la responsabilité du responsable infirmier de l’Unité. Ce dernier peut déléguer des tâches tant à ses collaborateurs qu'à des infirmiers extérieurs à l'USI.</v>
      </c>
      <c r="P158" s="412" t="str">
        <f t="shared" si="16"/>
        <v>Die intensivpflegerische Behandlung aller Patienten der IS erfolgt unter der Leitung und Verantwortung der Pflegeleitung. Diese kann Aufgaben sowohl an ihre Mitarbeiter als auch an Pflegende ausserhalb der IS delegieren.</v>
      </c>
      <c r="Q158" s="415" t="str">
        <f>Kriterien!U161</f>
        <v>Reglement und Visitation</v>
      </c>
      <c r="R158" s="416" t="str">
        <f>Kriterien!V161</f>
        <v>Règlement et visite</v>
      </c>
      <c r="S158" s="412" t="str">
        <f t="shared" si="17"/>
        <v>Reglement und Visitation</v>
      </c>
      <c r="U158"/>
      <c r="V158" s="2041"/>
    </row>
    <row r="159" spans="1:22" s="21" customFormat="1" ht="28">
      <c r="A159" s="527"/>
      <c r="B159" s="433"/>
      <c r="C159" s="42" t="s">
        <v>268</v>
      </c>
      <c r="D159" s="115" t="str">
        <f t="shared" si="14"/>
        <v>Verantwortlich für Weiter- und Fortbildung des Pflege- und Pflegehilfs-Personal der IS und daran mitbeteiligt.</v>
      </c>
      <c r="E159" s="56" t="str">
        <f t="shared" si="15"/>
        <v>Reglement und Visitation</v>
      </c>
      <c r="F159" s="162"/>
      <c r="J159" s="2041"/>
      <c r="K159"/>
      <c r="N159" s="415" t="str">
        <f>Kriterien!R162</f>
        <v>Verantwortlich für Weiter- und Fortbildung des Pflege- und Pflegehilfs-Personal der IS und daran mitbeteiligt.</v>
      </c>
      <c r="O159" s="428" t="str">
        <f>Kriterien!S162</f>
        <v>Il organise les formations postgraduées et continues du personnel soignant et des aide-soignants de l'USI et il y participe.</v>
      </c>
      <c r="P159" s="412" t="str">
        <f t="shared" si="16"/>
        <v>Verantwortlich für Weiter- und Fortbildung des Pflege- und Pflegehilfs-Personal der IS und daran mitbeteiligt.</v>
      </c>
      <c r="Q159" s="415" t="str">
        <f>Kriterien!U162</f>
        <v>Reglement und Visitation</v>
      </c>
      <c r="R159" s="416" t="str">
        <f>Kriterien!V162</f>
        <v>Règlement et visite</v>
      </c>
      <c r="S159" s="412" t="str">
        <f t="shared" si="17"/>
        <v>Reglement und Visitation</v>
      </c>
      <c r="U159"/>
      <c r="V159" s="2041"/>
    </row>
    <row r="160" spans="1:22" s="21" customFormat="1" ht="68.25" customHeight="1">
      <c r="A160" s="527"/>
      <c r="B160" s="433"/>
      <c r="C160" s="42" t="s">
        <v>269</v>
      </c>
      <c r="D160" s="115" t="str">
        <f t="shared" si="14"/>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E160" s="56" t="str">
        <f t="shared" si="15"/>
        <v>Reglement und Visitation</v>
      </c>
      <c r="F160" s="162"/>
      <c r="J160" s="2041"/>
      <c r="K160" s="799"/>
      <c r="N160" s="415" t="str">
        <f>Kriterien!R163</f>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O160" s="428" t="str">
        <f>Kriterien!S163</f>
        <v>La direction des soins infirmiers au sein de l'USI revient à un expert détenteur d'un diplôme d'infirmier en soins intensifs EPD ES. À titre exceptionnel, le comité de la SSMI peut reconnaître une unité de soins dont le responsable n'est pas porteur du diplôme EPD ES, mais dispose toutefois d'un diplôme équivalent d'expert en soins intensifs EPD ES. La confirmation de l'équivalence de cette formation ne peut être délivrée que par le comité de la SSMI.</v>
      </c>
      <c r="P160" s="412" t="str">
        <f t="shared" si="16"/>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Q160" s="415" t="str">
        <f>Kriterien!U163</f>
        <v>Reglement und Visitation</v>
      </c>
      <c r="R160" s="416" t="str">
        <f>Kriterien!V163</f>
        <v>Règlement et visite</v>
      </c>
      <c r="S160" s="412" t="str">
        <f t="shared" si="17"/>
        <v>Reglement und Visitation</v>
      </c>
      <c r="U160" s="799"/>
      <c r="V160" s="2041"/>
    </row>
    <row r="161" spans="1:22" s="21" customFormat="1" ht="37">
      <c r="A161" s="527"/>
      <c r="B161" s="433"/>
      <c r="C161" s="188" t="s">
        <v>299</v>
      </c>
      <c r="D161" s="7" t="str">
        <f t="shared" si="14"/>
        <v>Die pflegerische Leitung ist in dieser Funktion unbefristet angestellt. In einem Rotationssystem sind Leitungswechsel höchstens alle 3 Jahre erlaubt.</v>
      </c>
      <c r="E161" s="56" t="str">
        <f t="shared" si="15"/>
        <v>Reglement und Visitation</v>
      </c>
      <c r="F161" s="162"/>
      <c r="J161" s="2041"/>
      <c r="K161" s="868"/>
      <c r="N161" s="415" t="str">
        <f>Kriterien!R164</f>
        <v>Die pflegerische Leitung ist in dieser Funktion unbefristet angestellt. In einem Rotationssystem sind Leitungswechsel höchstens alle 3 Jahre erlaubt.</v>
      </c>
      <c r="O161" s="428" t="str">
        <f>Kriterien!S164</f>
        <v>Le responsable des soins infirmiers est engagé à ce poste pour une durée illimitée. Un changement de direction n'est autorisé, dans un système de rotation, au plus tôt aprèstrois ans.</v>
      </c>
      <c r="P161" s="412" t="str">
        <f t="shared" si="16"/>
        <v>Die pflegerische Leitung ist in dieser Funktion unbefristet angestellt. In einem Rotationssystem sind Leitungswechsel höchstens alle 3 Jahre erlaubt.</v>
      </c>
      <c r="Q161" s="415" t="str">
        <f>Kriterien!U164</f>
        <v>Reglement und Visitation</v>
      </c>
      <c r="R161" s="416" t="str">
        <f>Kriterien!V164</f>
        <v>Règlement et visite</v>
      </c>
      <c r="S161" s="412" t="str">
        <f t="shared" si="17"/>
        <v>Reglement und Visitation</v>
      </c>
      <c r="U161" s="868"/>
      <c r="V161" s="2041"/>
    </row>
    <row r="162" spans="1:22" s="21" customFormat="1" ht="37">
      <c r="A162" s="527"/>
      <c r="B162" s="433"/>
      <c r="C162" s="188" t="s">
        <v>300</v>
      </c>
      <c r="D162" s="115" t="str">
        <f t="shared" si="14"/>
        <v>Die ausgewiesene Minimalzeit für Kaderfunktionen (auch verteilt auf mehrere Personen) beträgt 80%-Vollzeitäquivalent für 6 Betten plus 10% für jedes zusätzliche Bett.</v>
      </c>
      <c r="E162" s="56" t="str">
        <f t="shared" si="15"/>
        <v>Reglement und Visitation</v>
      </c>
      <c r="F162" s="162"/>
      <c r="J162" s="2041"/>
      <c r="K162" s="868"/>
      <c r="N162" s="415" t="str">
        <f>Kriterien!R165</f>
        <v>Die ausgewiesene Minimalzeit für Kaderfunktionen (auch verteilt auf mehrere Personen) beträgt 80%-Vollzeitäquivalent für 6 Betten plus 10% für jedes zusätzliche Bett.</v>
      </c>
      <c r="O162" s="428" t="str">
        <f>Kriterien!S165</f>
        <v>Le temps de travail minimum établi pour les fonctions de cadres (même réparti sur plusieurs personnes) est de 80 % d'équivalents plein temps pour 6 lits, plus 10 % par lit supplémentaire.</v>
      </c>
      <c r="P162" s="412" t="str">
        <f t="shared" si="16"/>
        <v>Die ausgewiesene Minimalzeit für Kaderfunktionen (auch verteilt auf mehrere Personen) beträgt 80%-Vollzeitäquivalent für 6 Betten plus 10% für jedes zusätzliche Bett.</v>
      </c>
      <c r="Q162" s="415" t="str">
        <f>Kriterien!U165</f>
        <v>Reglement und Visitation</v>
      </c>
      <c r="R162" s="416" t="str">
        <f>Kriterien!V165</f>
        <v>Règlement et visite</v>
      </c>
      <c r="S162" s="412" t="str">
        <f t="shared" si="17"/>
        <v>Reglement und Visitation</v>
      </c>
      <c r="U162" s="868"/>
      <c r="V162" s="2041"/>
    </row>
    <row r="163" spans="1:22" s="21" customFormat="1" ht="18">
      <c r="A163" s="526"/>
      <c r="B163" s="433"/>
      <c r="C163" s="531" t="s">
        <v>164</v>
      </c>
      <c r="D163" s="54" t="str">
        <f t="shared" si="14"/>
        <v>Pflegeexperte</v>
      </c>
      <c r="E163" s="6" t="str">
        <f t="shared" si="15"/>
        <v/>
      </c>
      <c r="F163" s="162"/>
      <c r="J163" s="2041"/>
      <c r="K163" s="868"/>
      <c r="N163" s="415" t="str">
        <f>Kriterien!R166</f>
        <v>Pflegeexperte</v>
      </c>
      <c r="O163" s="428" t="str">
        <f>Kriterien!S166</f>
        <v>Expert en soins</v>
      </c>
      <c r="P163" s="412" t="str">
        <f t="shared" si="16"/>
        <v>Pflegeexperte</v>
      </c>
      <c r="Q163" s="415">
        <f>Kriterien!U166</f>
        <v>0</v>
      </c>
      <c r="R163" s="416">
        <f>Kriterien!V166</f>
        <v>0</v>
      </c>
      <c r="S163" s="412" t="str">
        <f t="shared" si="17"/>
        <v/>
      </c>
      <c r="U163" s="868"/>
      <c r="V163" s="2041"/>
    </row>
    <row r="164" spans="1:22" s="21" customFormat="1" ht="56">
      <c r="A164" s="526"/>
      <c r="B164" s="300"/>
      <c r="C164" s="44" t="s">
        <v>270</v>
      </c>
      <c r="D164" s="7" t="str">
        <f t="shared" si="14"/>
        <v>Ein Pflegeexperte mit einem Masterabschluss Pflege einer Fachhochschule oder Universität (Schweizer Bildungssystematik) [1 Punkt] und dem Diplom Experte Intensivpflege NDS HF [plus 1 Punkt] steht entsprechend der Grösse der Station zur Verfügung.</v>
      </c>
      <c r="E164" s="56" t="str">
        <f t="shared" si="15"/>
        <v>Reglement und Visitation</v>
      </c>
      <c r="F164" s="162"/>
      <c r="J164" s="2041"/>
      <c r="K164" s="868"/>
      <c r="N164" s="415" t="str">
        <f>Kriterien!R167</f>
        <v>Ein Pflegeexperte mit einem Masterabschluss Pflege einer Fachhochschule oder Universität (Schweizer Bildungssystematik) [1 Punkt] und dem Diplom Experte Intensivpflege NDS HF [plus 1 Punkt] steht entsprechend der Grösse der Station zur Verfügung.</v>
      </c>
      <c r="O164" s="428" t="str">
        <f>Kriterien!S167</f>
        <v>Un expert en soins détenteur d’un master en soins d’une haute école spécialisée ou d’une université (systématique suisse de la formation) [1 point] et le diplôme d'expert en soins intensifs EPD ES, [plus 1 point] est disponible pour l'USI en fonction de la taille de l'Unité.</v>
      </c>
      <c r="P164" s="412" t="str">
        <f t="shared" si="16"/>
        <v>Ein Pflegeexperte mit einem Masterabschluss Pflege einer Fachhochschule oder Universität (Schweizer Bildungssystematik) [1 Punkt] und dem Diplom Experte Intensivpflege NDS HF [plus 1 Punkt] steht entsprechend der Grösse der Station zur Verfügung.</v>
      </c>
      <c r="Q164" s="415" t="str">
        <f>Kriterien!U167</f>
        <v>Reglement und Visitation</v>
      </c>
      <c r="R164" s="416" t="str">
        <f>Kriterien!V167</f>
        <v>Règlement et visite</v>
      </c>
      <c r="S164" s="412" t="str">
        <f t="shared" si="17"/>
        <v>Reglement und Visitation</v>
      </c>
      <c r="U164" s="868"/>
      <c r="V164" s="2041"/>
    </row>
    <row r="165" spans="1:22" s="21" customFormat="1" ht="18">
      <c r="A165" s="526"/>
      <c r="B165" s="433"/>
      <c r="C165" s="44" t="s">
        <v>304</v>
      </c>
      <c r="D165" s="53" t="str">
        <f t="shared" si="14"/>
        <v>Minimalbestand an besetzten Pflegestellen Vollzeit (FTE)</v>
      </c>
      <c r="E165" s="6" t="str">
        <f t="shared" si="15"/>
        <v/>
      </c>
      <c r="F165" s="162"/>
      <c r="J165" s="2041"/>
      <c r="K165" s="868"/>
      <c r="N165" s="415" t="str">
        <f>Kriterien!R168</f>
        <v>Minimalbestand an besetzten Pflegestellen Vollzeit (FTE)</v>
      </c>
      <c r="O165" s="428" t="str">
        <f>Kriterien!S168</f>
        <v>Dotation minimale en personnel soignant à plein temps (EPT)</v>
      </c>
      <c r="P165" s="412" t="str">
        <f t="shared" si="16"/>
        <v>Minimalbestand an besetzten Pflegestellen Vollzeit (FTE)</v>
      </c>
      <c r="Q165" s="415">
        <f>Kriterien!U168</f>
        <v>0</v>
      </c>
      <c r="R165" s="416">
        <f>Kriterien!V168</f>
        <v>0</v>
      </c>
      <c r="S165" s="412" t="str">
        <f t="shared" si="17"/>
        <v/>
      </c>
      <c r="U165" s="868"/>
      <c r="V165" s="2041"/>
    </row>
    <row r="166" spans="1:22" s="21" customFormat="1" ht="56">
      <c r="A166" s="527"/>
      <c r="B166" s="433"/>
      <c r="C166" s="44" t="s">
        <v>306</v>
      </c>
      <c r="D166" s="13" t="str">
        <f t="shared" si="14"/>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E166" s="56" t="str">
        <f t="shared" si="15"/>
        <v>Reglement und Visitation</v>
      </c>
      <c r="F166" s="162"/>
      <c r="J166" s="2041"/>
      <c r="K166" s="868"/>
      <c r="N166" s="415" t="str">
        <f>Kriterien!R169</f>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O166" s="428" t="str">
        <f>Kriterien!S169</f>
        <v xml:space="preserve">Le tableau suivant détaille la dotation minimale absolue en personnel soignant à plein temps (EPT) attribué, indépendamment des horaires effectifs. Pour les Unités de soins intensifs extraordinaires, le tableau ne peut s'appliquer au sens strict, elles doivent par contre satisfaire aux sections suivantes. </v>
      </c>
      <c r="P166" s="412" t="str">
        <f t="shared" si="16"/>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Q166" s="415" t="str">
        <f>Kriterien!U169</f>
        <v>Reglement und Visitation</v>
      </c>
      <c r="R166" s="416" t="str">
        <f>Kriterien!V169</f>
        <v>Règlement et visite</v>
      </c>
      <c r="S166" s="412" t="str">
        <f t="shared" si="17"/>
        <v>Reglement und Visitation</v>
      </c>
      <c r="U166" s="868"/>
      <c r="V166" s="2041"/>
    </row>
    <row r="167" spans="1:22" ht="92" customHeight="1">
      <c r="A167" s="526"/>
      <c r="B167" s="433"/>
      <c r="C167" s="91"/>
      <c r="D167" s="262" t="str">
        <f t="shared" ref="D167:D223" si="18">P167</f>
        <v>Tabelle auf Deutsch</v>
      </c>
      <c r="E167" s="263" t="str">
        <f t="shared" ref="E167:E223" si="19">S167</f>
        <v>Tabelle auf Französisch</v>
      </c>
      <c r="F167" s="246"/>
      <c r="K167" s="868"/>
      <c r="M167" s="21"/>
      <c r="N167" s="415" t="str">
        <f>Kriterien!R170</f>
        <v>Tabelle auf Deutsch</v>
      </c>
      <c r="O167" s="428" t="str">
        <f>Kriterien!S170</f>
        <v>Tableau en Allemand</v>
      </c>
      <c r="P167" s="412" t="str">
        <f t="shared" si="16"/>
        <v>Tabelle auf Deutsch</v>
      </c>
      <c r="Q167" s="415" t="str">
        <f>Kriterien!U170</f>
        <v>Tabelle auf Französisch</v>
      </c>
      <c r="R167" s="416" t="str">
        <f>Kriterien!V170</f>
        <v>Tableau en Français</v>
      </c>
      <c r="S167" s="412" t="str">
        <f t="shared" si="17"/>
        <v>Tabelle auf Französisch</v>
      </c>
      <c r="U167" s="868"/>
    </row>
    <row r="168" spans="1:22" ht="196">
      <c r="A168" s="527"/>
      <c r="B168" s="433"/>
      <c r="C168" s="42" t="s">
        <v>307</v>
      </c>
      <c r="D168" s="115" t="str">
        <f t="shared" si="18"/>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E168" s="56" t="str">
        <f t="shared" si="19"/>
        <v>Reglement und Visitation</v>
      </c>
      <c r="F168" s="162"/>
      <c r="K168" s="868"/>
      <c r="M168" s="21"/>
      <c r="N168" s="415" t="str">
        <f>Kriterien!R171</f>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O168" s="428" t="str">
        <f>Kriterien!S171</f>
        <v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La présence minimale par horaire est de 2 soignant(e)s dont 1 est expert(e) en soins intensifs EPD ES (ou formation équivalente).
Ce point peut engendrer un besoin en postes d’expert(e)s EPD ES supérieur au calcul basé sur le nombre d’horaires effectifs, ou aux exigences minimale notées dans le tableau ci-dessus. L’exigence est remplie si tous les critères mentionnés (4.2.3.2) sont remplis. </v>
      </c>
      <c r="P168" s="412" t="str">
        <f t="shared" si="16"/>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Q168" s="415" t="str">
        <f>Kriterien!U171</f>
        <v>Reglement und Visitation</v>
      </c>
      <c r="R168" s="416" t="str">
        <f>Kriterien!V171</f>
        <v>Règlement et visite</v>
      </c>
      <c r="S168" s="412" t="str">
        <f t="shared" si="17"/>
        <v>Reglement und Visitation</v>
      </c>
      <c r="U168" s="868"/>
    </row>
    <row r="169" spans="1:22" s="112" customFormat="1" ht="19">
      <c r="A169" s="526"/>
      <c r="B169" s="433"/>
      <c r="D169" s="515" t="str">
        <f t="shared" si="18"/>
        <v>Pflegeberechnung:     siehe Excel-Blatt "ETP-FTE"</v>
      </c>
      <c r="E169" s="194" t="str">
        <f t="shared" si="19"/>
        <v/>
      </c>
      <c r="F169" s="162" t="s">
        <v>1815</v>
      </c>
      <c r="G169" s="21"/>
      <c r="H169" s="21"/>
      <c r="I169" s="21"/>
      <c r="J169" s="2041"/>
      <c r="K169" s="868"/>
      <c r="L169" s="21"/>
      <c r="N169" s="415" t="str">
        <f>Kriterien!R172</f>
        <v>Pflegeberechnung:     siehe Excel-Blatt "ETP-FTE"</v>
      </c>
      <c r="O169" s="428" t="str">
        <f>Kriterien!S172</f>
        <v>Calcul de dotation en soins:     cf. Onglet Excel "ETP-FTE"</v>
      </c>
      <c r="P169" s="412" t="str">
        <f t="shared" si="16"/>
        <v>Pflegeberechnung:     siehe Excel-Blatt "ETP-FTE"</v>
      </c>
      <c r="Q169" s="415">
        <f>Kriterien!U172</f>
        <v>0</v>
      </c>
      <c r="R169" s="416">
        <f>Kriterien!V172</f>
        <v>0</v>
      </c>
      <c r="S169" s="412" t="str">
        <f t="shared" si="17"/>
        <v/>
      </c>
      <c r="U169" s="868"/>
      <c r="V169" s="2041"/>
    </row>
    <row r="170" spans="1:22" s="21" customFormat="1" ht="49">
      <c r="A170" s="527"/>
      <c r="B170" s="433"/>
      <c r="C170" s="42" t="s">
        <v>308</v>
      </c>
      <c r="D170" s="115" t="str">
        <f t="shared" si="18"/>
        <v>Die nicht patientengebundene Arbeit, die durch die Pflegekader oder andere Angehörige des Pflegeteams der IS erbracht wird, ist in den obigen Zahlen nicht enthalten. Der Anteil der nicht patientengebundenen Arbeit bei allen Kadern muss ausgewiesen werden.</v>
      </c>
      <c r="E170" s="56" t="str">
        <f t="shared" si="19"/>
        <v>Reglement und Visitation</v>
      </c>
      <c r="F170" s="162"/>
      <c r="J170" s="2041"/>
      <c r="K170" s="868"/>
      <c r="N170" s="415" t="str">
        <f>Kriterien!R173</f>
        <v>Die nicht patientengebundene Arbeit, die durch die Pflegekader oder andere Angehörige des Pflegeteams der IS erbracht wird, ist in den obigen Zahlen nicht enthalten. Der Anteil der nicht patientengebundenen Arbeit bei allen Kadern muss ausgewiesen werden.</v>
      </c>
      <c r="O170" s="428" t="str">
        <f>Kriterien!S173</f>
        <v>Le travail non lié aux patients effectué par les cadres infirmiers ou d’autres membres de l’équipe soignante de l’USI n’est pas pris en compte dans les chiffres indiqués ci-dessus. La part relative à ce travail effectué par l'ensemble des cadres doit être dûment documentée.</v>
      </c>
      <c r="P170" s="412" t="str">
        <f t="shared" si="16"/>
        <v>Die nicht patientengebundene Arbeit, die durch die Pflegekader oder andere Angehörige des Pflegeteams der IS erbracht wird, ist in den obigen Zahlen nicht enthalten. Der Anteil der nicht patientengebundenen Arbeit bei allen Kadern muss ausgewiesen werden.</v>
      </c>
      <c r="Q170" s="415" t="str">
        <f>Kriterien!U173</f>
        <v>Reglement und Visitation</v>
      </c>
      <c r="R170" s="416" t="str">
        <f>Kriterien!V173</f>
        <v>Règlement et visite</v>
      </c>
      <c r="S170" s="412" t="str">
        <f t="shared" si="17"/>
        <v>Reglement und Visitation</v>
      </c>
      <c r="U170" s="868"/>
      <c r="V170" s="2041"/>
    </row>
    <row r="171" spans="1:22" s="21" customFormat="1" ht="38.25" customHeight="1">
      <c r="A171" s="527"/>
      <c r="B171" s="433"/>
      <c r="C171" s="42" t="s">
        <v>309</v>
      </c>
      <c r="D171" s="115" t="str">
        <f t="shared" si="18"/>
        <v>Alle im Instruktionsdienst tätigen Pflegepersonen zählen nur für ihre Tätigkeit in der direkten Pflege am Bett zu den oben genannten Zahlen. Das geplante Verhältnis muss ausgewiesen werden.</v>
      </c>
      <c r="E171" s="56" t="str">
        <f t="shared" si="19"/>
        <v>Reglement und Visitation</v>
      </c>
      <c r="F171" s="162"/>
      <c r="J171" s="2041"/>
      <c r="K171" s="868"/>
      <c r="N171" s="415" t="str">
        <f>Kriterien!R174</f>
        <v>Alle im Instruktionsdienst tätigen Pflegepersonen zählen nur für ihre Tätigkeit in der direkten Pflege am Bett zu den oben genannten Zahlen. Das geplante Verhältnis muss ausgewiesen werden.</v>
      </c>
      <c r="O171" s="428" t="str">
        <f>Kriterien!S174</f>
        <v>L'ensemble du personnel de soins participant aux activités d'instruction n'est comptabilisé dans les chiffres ci-dessus que dans le cadre de ses activités de soins directs au lit du patient. La proportion prévue pour les différentes activités doit être documentée.</v>
      </c>
      <c r="P171" s="412" t="str">
        <f t="shared" si="16"/>
        <v>Alle im Instruktionsdienst tätigen Pflegepersonen zählen nur für ihre Tätigkeit in der direkten Pflege am Bett zu den oben genannten Zahlen. Das geplante Verhältnis muss ausgewiesen werden.</v>
      </c>
      <c r="Q171" s="415" t="str">
        <f>Kriterien!U174</f>
        <v>Reglement und Visitation</v>
      </c>
      <c r="R171" s="416" t="str">
        <f>Kriterien!V174</f>
        <v>Règlement et visite</v>
      </c>
      <c r="S171" s="412" t="str">
        <f t="shared" si="17"/>
        <v>Reglement und Visitation</v>
      </c>
      <c r="U171" s="868"/>
      <c r="V171" s="2041"/>
    </row>
    <row r="172" spans="1:22" s="21" customFormat="1" ht="61">
      <c r="A172" s="527"/>
      <c r="B172" s="433"/>
      <c r="C172" s="42" t="s">
        <v>310</v>
      </c>
      <c r="D172" s="115" t="str">
        <f t="shared" si="18"/>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E172" s="56" t="str">
        <f t="shared" si="19"/>
        <v>Reglement und Visitation</v>
      </c>
      <c r="F172" s="162"/>
      <c r="J172" s="2041"/>
      <c r="K172" s="868"/>
      <c r="N172" s="410" t="str">
        <f>Kriterien!R175</f>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O172" s="413" t="str">
        <f>Kriterien!S175</f>
        <v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 </v>
      </c>
      <c r="P172" s="412" t="str">
        <f t="shared" si="16"/>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Q172" s="415" t="str">
        <f>Kriterien!U175</f>
        <v>Reglement und Visitation</v>
      </c>
      <c r="R172" s="416" t="str">
        <f>Kriterien!V175</f>
        <v>Règlement et visite</v>
      </c>
      <c r="S172" s="412" t="str">
        <f t="shared" si="17"/>
        <v>Reglement und Visitation</v>
      </c>
      <c r="U172" s="868"/>
      <c r="V172" s="2041"/>
    </row>
    <row r="173" spans="1:22" s="21" customFormat="1" ht="18">
      <c r="A173" s="526"/>
      <c r="B173" s="433"/>
      <c r="C173" s="50" t="s">
        <v>312</v>
      </c>
      <c r="D173" s="53" t="str">
        <f t="shared" si="18"/>
        <v>Qualifikation</v>
      </c>
      <c r="E173" s="32" t="str">
        <f t="shared" si="19"/>
        <v/>
      </c>
      <c r="F173" s="162"/>
      <c r="J173" s="2041"/>
      <c r="K173" s="868"/>
      <c r="N173" s="415" t="str">
        <f>Kriterien!R176</f>
        <v>Qualifikation</v>
      </c>
      <c r="O173" s="428" t="str">
        <f>Kriterien!S176</f>
        <v>Qualification</v>
      </c>
      <c r="P173" s="412" t="str">
        <f t="shared" si="16"/>
        <v>Qualifikation</v>
      </c>
      <c r="Q173" s="415">
        <f>Kriterien!U176</f>
        <v>0</v>
      </c>
      <c r="R173" s="416">
        <f>Kriterien!V176</f>
        <v>0</v>
      </c>
      <c r="S173" s="412" t="str">
        <f t="shared" si="17"/>
        <v/>
      </c>
      <c r="U173" s="868"/>
      <c r="V173" s="2041"/>
    </row>
    <row r="174" spans="1:22" s="21" customFormat="1" ht="56">
      <c r="A174" s="527"/>
      <c r="B174" s="433"/>
      <c r="C174" s="42" t="s">
        <v>313</v>
      </c>
      <c r="D174" s="115" t="str">
        <f t="shared" si="18"/>
        <v>Mindestens ein Drittel der verlangten, minimalen Vollzeitstellenprozente des Pflegepersonals muss über das Diplom Experte in Intensivpflege NDS HF oder eine gleichwertige Ausbildung verfügen. Über die Gleichwertigkeit entscheidet der Vorstand der SGI.</v>
      </c>
      <c r="E174" s="6" t="str">
        <f t="shared" si="19"/>
        <v>Reglement und Visitation</v>
      </c>
      <c r="F174" s="162"/>
      <c r="J174" s="2041"/>
      <c r="K174" s="868"/>
      <c r="N174" s="415" t="str">
        <f>Kriterien!R177</f>
        <v>Mindestens ein Drittel der verlangten, minimalen Vollzeitstellenprozente des Pflegepersonals muss über das Diplom Experte in Intensivpflege NDS HF oder eine gleichwertige Ausbildung verfügen. Über die Gleichwertigkeit entscheidet der Vorstand der SGI.</v>
      </c>
      <c r="O174" s="428" t="str">
        <f>Kriterien!S177</f>
        <v>Au moins un tiers des équivalents plein temps du personnel soignant requis au minimum doit être titulaire du diplôme d’expert en soins intensifs EPD ES ou avoir suivi une formation équivalente. C’est le comité de la SSMI qui décide de l’équivalence.</v>
      </c>
      <c r="P174" s="412" t="str">
        <f t="shared" si="16"/>
        <v>Mindestens ein Drittel der verlangten, minimalen Vollzeitstellenprozente des Pflegepersonals muss über das Diplom Experte in Intensivpflege NDS HF oder eine gleichwertige Ausbildung verfügen. Über die Gleichwertigkeit entscheidet der Vorstand der SGI.</v>
      </c>
      <c r="Q174" s="415" t="str">
        <f>Kriterien!U177</f>
        <v>Reglement und Visitation</v>
      </c>
      <c r="R174" s="416" t="str">
        <f>Kriterien!V177</f>
        <v>Règlement et visite</v>
      </c>
      <c r="S174" s="412" t="str">
        <f t="shared" si="17"/>
        <v>Reglement und Visitation</v>
      </c>
      <c r="U174" s="868"/>
      <c r="V174" s="2041"/>
    </row>
    <row r="175" spans="1:22" s="21" customFormat="1" ht="73">
      <c r="A175" s="527"/>
      <c r="B175" s="433"/>
      <c r="C175" s="42" t="s">
        <v>314</v>
      </c>
      <c r="D175" s="115" t="str">
        <f t="shared" si="18"/>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E175" s="6" t="str">
        <f t="shared" si="19"/>
        <v>Reglement und Visitation</v>
      </c>
      <c r="F175" s="162"/>
      <c r="J175" s="2041"/>
      <c r="K175" s="868"/>
      <c r="N175" s="415" t="str">
        <f>Kriterien!R178</f>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O175" s="428" t="str">
        <f>Kriterien!S178</f>
        <v>Au moins un membre du personnel soignant par horaire infirmier travaillant au lit du patient doit être titulaire du diplôme d’expert en soins intensifs EPD ES ou équivalent, conformément à la définition donnée dans la section précédente. Pour des USI de 6 lits et 15 EPT, au minimum 40 % (= 6 EPT) du personnel doit être titulaire du diplôme d’expert en soins intensifs EPD ES pour pouvoir répondre à cette exigence.</v>
      </c>
      <c r="P175" s="412" t="str">
        <f t="shared" si="16"/>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Q175" s="415" t="str">
        <f>Kriterien!U178</f>
        <v>Reglement und Visitation</v>
      </c>
      <c r="R175" s="416" t="str">
        <f>Kriterien!V178</f>
        <v>Règlement et visite</v>
      </c>
      <c r="S175" s="412" t="str">
        <f t="shared" si="17"/>
        <v>Reglement und Visitation</v>
      </c>
      <c r="U175" s="868"/>
      <c r="V175" s="2041"/>
    </row>
    <row r="176" spans="1:22" s="21" customFormat="1" ht="59.25" customHeight="1">
      <c r="A176" s="527"/>
      <c r="B176" s="433"/>
      <c r="C176" s="42" t="s">
        <v>315</v>
      </c>
      <c r="D176" s="115" t="str">
        <f t="shared" si="18"/>
        <v>Werden Fachangestellte Gesundheit (FaGe) in der IS eingesetzt, darf ihr Stellenanteil 5% des Gesamtbedarfs an Pflegestellen nicht überschreiten. Sind mehr als 5% FaGe angestellt, wird der Anteil &gt;5% der Gruppe Hilfspersonal zugeordnet.</v>
      </c>
      <c r="E176" s="6" t="str">
        <f t="shared" si="19"/>
        <v>Reglement und Visitation</v>
      </c>
      <c r="F176" s="162"/>
      <c r="J176" s="2041"/>
      <c r="K176" s="868"/>
      <c r="N176" s="415" t="str">
        <f>Kriterien!R179</f>
        <v>Werden Fachangestellte Gesundheit (FaGe) in der IS eingesetzt, darf ihr Stellenanteil 5% des Gesamtbedarfs an Pflegestellen nicht überschreiten. Sind mehr als 5% FaGe angestellt, wird der Anteil &gt;5% der Gruppe Hilfspersonal zugeordnet.</v>
      </c>
      <c r="O176" s="428" t="str">
        <f>Kriterien!S179</f>
        <v>Si l’USI emploie des assistants en soins et santé communautaire (ASSC), leur nombre ne doit pas dépasser 5 % des besoins globaux en personnel soignant. S'ils représentent plus de 5 % de l'ensemble des soignants, le pourcentage qui excède les 5 % est attribué au groupe du personnel auxiliaire.</v>
      </c>
      <c r="P176" s="412" t="str">
        <f t="shared" si="16"/>
        <v>Werden Fachangestellte Gesundheit (FaGe) in der IS eingesetzt, darf ihr Stellenanteil 5% des Gesamtbedarfs an Pflegestellen nicht überschreiten. Sind mehr als 5% FaGe angestellt, wird der Anteil &gt;5% der Gruppe Hilfspersonal zugeordnet.</v>
      </c>
      <c r="Q176" s="415" t="str">
        <f>Kriterien!U179</f>
        <v>Reglement und Visitation</v>
      </c>
      <c r="R176" s="416" t="str">
        <f>Kriterien!V179</f>
        <v>Règlement et visite</v>
      </c>
      <c r="S176" s="412" t="str">
        <f t="shared" si="17"/>
        <v>Reglement und Visitation</v>
      </c>
      <c r="U176" s="868"/>
      <c r="V176" s="2041"/>
    </row>
    <row r="177" spans="1:22" s="21" customFormat="1" ht="18">
      <c r="A177" s="526"/>
      <c r="B177" s="433"/>
      <c r="C177" s="40">
        <v>4.3</v>
      </c>
      <c r="D177" s="14" t="str">
        <f t="shared" si="18"/>
        <v>Physiotherapie, Ergotherapie und Logopädie</v>
      </c>
      <c r="E177" s="35" t="str">
        <f t="shared" si="19"/>
        <v/>
      </c>
      <c r="F177" s="162"/>
      <c r="J177" s="2041"/>
      <c r="K177" s="868"/>
      <c r="N177" s="415" t="str">
        <f>Kriterien!R180</f>
        <v>Physiotherapie, Ergotherapie und Logopädie</v>
      </c>
      <c r="O177" s="428" t="str">
        <f>Kriterien!S180</f>
        <v>Physiothérapeutes, ergothérapeutes et logopédistes</v>
      </c>
      <c r="P177" s="412" t="str">
        <f t="shared" si="16"/>
        <v>Physiotherapie, Ergotherapie und Logopädie</v>
      </c>
      <c r="Q177" s="415">
        <f>Kriterien!U180</f>
        <v>0</v>
      </c>
      <c r="R177" s="416">
        <f>Kriterien!V180</f>
        <v>0</v>
      </c>
      <c r="S177" s="412" t="str">
        <f t="shared" si="17"/>
        <v/>
      </c>
      <c r="U177" s="868"/>
      <c r="V177" s="2041"/>
    </row>
    <row r="178" spans="1:22" s="21" customFormat="1" ht="28">
      <c r="A178" s="527"/>
      <c r="B178" s="433"/>
      <c r="C178" s="50" t="s">
        <v>271</v>
      </c>
      <c r="D178" s="5" t="str">
        <f t="shared" si="18"/>
        <v xml:space="preserve">Die IS soll täglich auf Anforderung Physiotherapiedienstleistungen in Anspruch nehmen können. </v>
      </c>
      <c r="E178" s="6" t="str">
        <f t="shared" si="19"/>
        <v>Reglement und Visitation</v>
      </c>
      <c r="F178" s="162"/>
      <c r="J178" s="2041"/>
      <c r="K178" s="868"/>
      <c r="N178" s="415" t="str">
        <f>Kriterien!R181</f>
        <v xml:space="preserve">Die IS soll täglich auf Anforderung Physiotherapiedienstleistungen in Anspruch nehmen können. </v>
      </c>
      <c r="O178" s="428" t="str">
        <f>Kriterien!S181</f>
        <v xml:space="preserve">L'USI doit au quotidien pouvoir recourir aux physiothérapeutes.. </v>
      </c>
      <c r="P178" s="412" t="str">
        <f t="shared" si="16"/>
        <v xml:space="preserve">Die IS soll täglich auf Anforderung Physiotherapiedienstleistungen in Anspruch nehmen können. </v>
      </c>
      <c r="Q178" s="415" t="str">
        <f>Kriterien!U181</f>
        <v>Reglement und Visitation</v>
      </c>
      <c r="R178" s="416" t="str">
        <f>Kriterien!V181</f>
        <v>Règlement et visite</v>
      </c>
      <c r="S178" s="412" t="str">
        <f t="shared" si="17"/>
        <v>Reglement und Visitation</v>
      </c>
      <c r="U178" s="868"/>
      <c r="V178" s="2041"/>
    </row>
    <row r="179" spans="1:22" s="21" customFormat="1" ht="28">
      <c r="A179" s="526"/>
      <c r="B179" s="300"/>
      <c r="C179" s="50" t="s">
        <v>272</v>
      </c>
      <c r="D179" s="115" t="str">
        <f t="shared" si="18"/>
        <v>Je nach Patientengut muss eine IS Zugriff auf ergotherapeutische und logopädische Fachkompetenz nachweisen können.</v>
      </c>
      <c r="E179" s="6" t="str">
        <f t="shared" si="19"/>
        <v>Reglement und Visitation</v>
      </c>
      <c r="F179" s="162"/>
      <c r="J179" s="2041"/>
      <c r="K179" s="868"/>
      <c r="N179" s="415" t="str">
        <f>Kriterien!R182</f>
        <v>Je nach Patientengut muss eine IS Zugriff auf ergotherapeutische und logopädische Fachkompetenz nachweisen können.</v>
      </c>
      <c r="O179" s="428" t="str">
        <f>Kriterien!S182</f>
        <v>Selon les besoins des patients, l’USI doit pouvoir recourir à un spécialiste en ergothérapie et en logopédie.</v>
      </c>
      <c r="P179" s="412" t="str">
        <f t="shared" si="16"/>
        <v>Je nach Patientengut muss eine IS Zugriff auf ergotherapeutische und logopädische Fachkompetenz nachweisen können.</v>
      </c>
      <c r="Q179" s="415" t="str">
        <f>Kriterien!U182</f>
        <v>Reglement und Visitation</v>
      </c>
      <c r="R179" s="416" t="str">
        <f>Kriterien!V182</f>
        <v>Règlement et visite</v>
      </c>
      <c r="S179" s="412" t="str">
        <f t="shared" si="17"/>
        <v>Reglement und Visitation</v>
      </c>
      <c r="U179" s="868"/>
      <c r="V179" s="2041"/>
    </row>
    <row r="180" spans="1:22" s="21" customFormat="1" ht="18">
      <c r="A180" s="526"/>
      <c r="B180" s="433"/>
      <c r="C180" s="40">
        <v>4.4000000000000004</v>
      </c>
      <c r="D180" s="9" t="str">
        <f t="shared" si="18"/>
        <v>Hilfspersonal</v>
      </c>
      <c r="E180" s="32" t="str">
        <f t="shared" si="19"/>
        <v/>
      </c>
      <c r="F180" s="162"/>
      <c r="J180" s="2041"/>
      <c r="K180" s="868"/>
      <c r="N180" s="415" t="str">
        <f>Kriterien!R183</f>
        <v>Hilfspersonal</v>
      </c>
      <c r="O180" s="428" t="str">
        <f>Kriterien!S183</f>
        <v>Personnel auxiliaire</v>
      </c>
      <c r="P180" s="412" t="str">
        <f t="shared" si="16"/>
        <v>Hilfspersonal</v>
      </c>
      <c r="Q180" s="415">
        <f>Kriterien!U183</f>
        <v>0</v>
      </c>
      <c r="R180" s="416">
        <f>Kriterien!V183</f>
        <v>0</v>
      </c>
      <c r="S180" s="412" t="str">
        <f t="shared" si="17"/>
        <v/>
      </c>
      <c r="U180" s="868"/>
      <c r="V180" s="2041"/>
    </row>
    <row r="181" spans="1:22" s="21" customFormat="1" ht="109">
      <c r="A181" s="526"/>
      <c r="B181" s="300"/>
      <c r="C181" s="50" t="s">
        <v>273</v>
      </c>
      <c r="D181" s="5" t="str">
        <f t="shared" si="18"/>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E181" s="6" t="str">
        <f t="shared" si="19"/>
        <v>Reglement und Visitation</v>
      </c>
      <c r="F181" s="162"/>
      <c r="J181" s="2041"/>
      <c r="K181"/>
      <c r="N181" s="415" t="str">
        <f>Kriterien!R184</f>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O181" s="428" t="str">
        <f>Kriterien!S184</f>
        <v>L’USI doit disposer d’un nombre adéquat de personnel auxiliaire. La dotation minimale exigée de soignants selon 4.2.2 présuppose une dotation de base en personnel auxiliaire. Les postes de personnel auxiliaire attribués doivent être dûment documentés. Si tous les travaux auxiliaires sont effectués par du personnel soignant diplômé, les postes prévus pour ces travaux auxiliaires (non liés aux patients) doivent être déclarés séparément et sont déduits de la dotation minimale pour les missions liées aux patients.</v>
      </c>
      <c r="P181" s="412" t="str">
        <f t="shared" si="16"/>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Q181" s="415" t="str">
        <f>Kriterien!U184</f>
        <v>Reglement und Visitation</v>
      </c>
      <c r="R181" s="416" t="str">
        <f>Kriterien!V184</f>
        <v>Règlement et visite</v>
      </c>
      <c r="S181" s="412" t="str">
        <f t="shared" si="17"/>
        <v>Reglement und Visitation</v>
      </c>
      <c r="U181"/>
      <c r="V181" s="2041"/>
    </row>
    <row r="182" spans="1:22" s="21" customFormat="1" ht="18">
      <c r="A182" s="526"/>
      <c r="B182" s="433"/>
      <c r="C182" s="40" t="s">
        <v>120</v>
      </c>
      <c r="D182" s="9" t="str">
        <f t="shared" si="18"/>
        <v>Technisches Personal</v>
      </c>
      <c r="E182" s="32" t="str">
        <f t="shared" si="19"/>
        <v/>
      </c>
      <c r="F182" s="162"/>
      <c r="J182" s="2041"/>
      <c r="K182"/>
      <c r="N182" s="415" t="str">
        <f>Kriterien!R185</f>
        <v>Technisches Personal</v>
      </c>
      <c r="O182" s="428" t="str">
        <f>Kriterien!S185</f>
        <v>Personnel technique</v>
      </c>
      <c r="P182" s="412" t="str">
        <f t="shared" si="16"/>
        <v>Technisches Personal</v>
      </c>
      <c r="Q182" s="415">
        <f>Kriterien!U185</f>
        <v>0</v>
      </c>
      <c r="R182" s="416">
        <f>Kriterien!V185</f>
        <v>0</v>
      </c>
      <c r="S182" s="412" t="str">
        <f t="shared" si="17"/>
        <v/>
      </c>
      <c r="U182"/>
      <c r="V182" s="2041"/>
    </row>
    <row r="183" spans="1:22" s="21" customFormat="1" ht="97">
      <c r="A183" s="526"/>
      <c r="B183" s="300"/>
      <c r="C183" s="50" t="s">
        <v>274</v>
      </c>
      <c r="D183" s="5" t="str">
        <f t="shared" si="18"/>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E183" s="6" t="str">
        <f t="shared" si="19"/>
        <v>Reglement und Visitation</v>
      </c>
      <c r="F183" s="162"/>
      <c r="J183" s="2041"/>
      <c r="K183"/>
      <c r="N183" s="415" t="str">
        <f>Kriterien!R186</f>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O183" s="428" t="str">
        <f>Kriterien!S186</f>
        <v xml:space="preserve">La nécessité d’intégrer dans le personnel de l’USI des techniciens, laborantins, informaticiens, etc., dépend des installations et des appareils utilisés ainsi que des réalités internes de l’hôpital. Le personnel soignant relevant de la dotation minimale attribuée aux missions liées aux patients ne doit pas être détourné de sa tâche pour s'occuper de l’entretien des appareils de surveillance, appareils respiratoires, appareils de laboratoire et autres installations techniques, ni du réseaux ni des ordinateurs. </v>
      </c>
      <c r="P183" s="412" t="str">
        <f t="shared" si="16"/>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Q183" s="415" t="str">
        <f>Kriterien!U186</f>
        <v>Reglement und Visitation</v>
      </c>
      <c r="R183" s="416" t="str">
        <f>Kriterien!V186</f>
        <v>Règlement et visite</v>
      </c>
      <c r="S183" s="412" t="str">
        <f t="shared" si="17"/>
        <v>Reglement und Visitation</v>
      </c>
      <c r="U183"/>
      <c r="V183" s="2041"/>
    </row>
    <row r="184" spans="1:22" s="21" customFormat="1" ht="18">
      <c r="A184" s="526"/>
      <c r="B184" s="433"/>
      <c r="C184" s="40">
        <v>4.5999999999999996</v>
      </c>
      <c r="D184" s="9" t="str">
        <f t="shared" si="18"/>
        <v>Sekretariat</v>
      </c>
      <c r="E184" s="32" t="str">
        <f t="shared" si="19"/>
        <v/>
      </c>
      <c r="F184" s="162"/>
      <c r="J184" s="2041"/>
      <c r="K184"/>
      <c r="N184" s="415" t="str">
        <f>Kriterien!R187</f>
        <v>Sekretariat</v>
      </c>
      <c r="O184" s="428" t="str">
        <f>Kriterien!S187</f>
        <v>Secrétariat</v>
      </c>
      <c r="P184" s="412" t="str">
        <f t="shared" si="16"/>
        <v>Sekretariat</v>
      </c>
      <c r="Q184" s="415">
        <f>Kriterien!U187</f>
        <v>0</v>
      </c>
      <c r="R184" s="416">
        <f>Kriterien!V187</f>
        <v>0</v>
      </c>
      <c r="S184" s="412" t="str">
        <f t="shared" si="17"/>
        <v/>
      </c>
      <c r="U184"/>
      <c r="V184" s="2041"/>
    </row>
    <row r="185" spans="1:22" s="21" customFormat="1" ht="28">
      <c r="A185" s="527"/>
      <c r="B185" s="434"/>
      <c r="C185" s="50" t="s">
        <v>275</v>
      </c>
      <c r="D185" s="15" t="str">
        <f t="shared" si="18"/>
        <v>Pro 6 Betten mindestens 50%-Vollzeitäquivalent (bei aoIS 30% entsprechend den reduzierten Leistungszahlen).</v>
      </c>
      <c r="E185" s="6" t="str">
        <f t="shared" si="19"/>
        <v>Reglement und Visitation</v>
      </c>
      <c r="F185" s="162"/>
      <c r="J185" s="2041"/>
      <c r="K185"/>
      <c r="N185" s="415" t="str">
        <f>Kriterien!R188</f>
        <v>Pro 6 Betten mindestens 50%-Vollzeitäquivalent (bei aoIS 30% entsprechend den reduzierten Leistungszahlen).</v>
      </c>
      <c r="O185" s="428" t="str">
        <f>Kriterien!S188</f>
        <v>Il est nécessaire d'engager au moins 50 % d'équivalent plein temps pour 6 lits. (Pour les Unités de soins intensifs (USI) extraordinaires, 30 % correspondant au nombre de prestations réduit).</v>
      </c>
      <c r="P185" s="412" t="str">
        <f t="shared" si="16"/>
        <v>Pro 6 Betten mindestens 50%-Vollzeitäquivalent (bei aoIS 30% entsprechend den reduzierten Leistungszahlen).</v>
      </c>
      <c r="Q185" s="415" t="str">
        <f>Kriterien!U188</f>
        <v>Reglement und Visitation</v>
      </c>
      <c r="R185" s="416" t="str">
        <f>Kriterien!V188</f>
        <v>Règlement et visite</v>
      </c>
      <c r="S185" s="412" t="str">
        <f t="shared" si="17"/>
        <v>Reglement und Visitation</v>
      </c>
      <c r="U185"/>
      <c r="V185" s="2041"/>
    </row>
    <row r="186" spans="1:22" s="195" customFormat="1" ht="18">
      <c r="A186" s="432"/>
      <c r="B186" s="432"/>
      <c r="C186" s="39">
        <v>5</v>
      </c>
      <c r="D186" s="16" t="str">
        <f t="shared" si="18"/>
        <v>Diagnostik und Monitoring</v>
      </c>
      <c r="E186" s="36" t="str">
        <f t="shared" si="19"/>
        <v/>
      </c>
      <c r="F186" s="255"/>
      <c r="J186" s="2041"/>
      <c r="K186"/>
      <c r="N186" s="415" t="str">
        <f>Kriterien!R189</f>
        <v>Diagnostik und Monitoring</v>
      </c>
      <c r="O186" s="428" t="str">
        <f>Kriterien!S189</f>
        <v>Diagnostic et monitorage</v>
      </c>
      <c r="P186" s="412" t="str">
        <f t="shared" si="16"/>
        <v>Diagnostik und Monitoring</v>
      </c>
      <c r="Q186" s="415">
        <f>Kriterien!U189</f>
        <v>0</v>
      </c>
      <c r="R186" s="416">
        <f>Kriterien!V189</f>
        <v>0</v>
      </c>
      <c r="S186" s="412" t="str">
        <f t="shared" si="17"/>
        <v/>
      </c>
      <c r="U186"/>
      <c r="V186" s="2041"/>
    </row>
    <row r="187" spans="1:22" s="21" customFormat="1" ht="18">
      <c r="A187" s="526"/>
      <c r="B187" s="433"/>
      <c r="C187" s="40">
        <v>5.0999999999999996</v>
      </c>
      <c r="D187" s="9" t="str">
        <f t="shared" si="18"/>
        <v>Laboruntersuchungen</v>
      </c>
      <c r="E187" s="9" t="str">
        <f t="shared" si="19"/>
        <v/>
      </c>
      <c r="F187" s="162"/>
      <c r="J187" s="2041"/>
      <c r="K187"/>
      <c r="N187" s="415" t="str">
        <f>Kriterien!R190</f>
        <v>Laboruntersuchungen</v>
      </c>
      <c r="O187" s="428" t="str">
        <f>Kriterien!S190</f>
        <v>Examens de laboratoire</v>
      </c>
      <c r="P187" s="412" t="str">
        <f t="shared" si="16"/>
        <v>Laboruntersuchungen</v>
      </c>
      <c r="Q187" s="415">
        <f>Kriterien!U190</f>
        <v>0</v>
      </c>
      <c r="R187" s="416">
        <f>Kriterien!V190</f>
        <v>0</v>
      </c>
      <c r="S187" s="412" t="str">
        <f t="shared" si="17"/>
        <v/>
      </c>
      <c r="U187"/>
      <c r="V187" s="2041"/>
    </row>
    <row r="188" spans="1:22" s="21" customFormat="1" ht="18">
      <c r="A188" s="527"/>
      <c r="B188" s="433"/>
      <c r="C188" s="50" t="s">
        <v>276</v>
      </c>
      <c r="D188" s="6" t="str">
        <f t="shared" si="18"/>
        <v>Ein Notfalllabor muss rund um die Uhr verfügbar sein.</v>
      </c>
      <c r="E188" s="6" t="str">
        <f t="shared" si="19"/>
        <v>Visitation</v>
      </c>
      <c r="F188" s="162"/>
      <c r="J188" s="2041"/>
      <c r="K188"/>
      <c r="N188" s="415" t="str">
        <f>Kriterien!R191</f>
        <v>Ein Notfalllabor muss rund um die Uhr verfügbar sein.</v>
      </c>
      <c r="O188" s="428" t="str">
        <f>Kriterien!S191</f>
        <v>Un laboratoire d'urgence doit être disponible 24 heures sur 24.</v>
      </c>
      <c r="P188" s="412" t="str">
        <f t="shared" si="16"/>
        <v>Ein Notfalllabor muss rund um die Uhr verfügbar sein.</v>
      </c>
      <c r="Q188" s="415" t="str">
        <f>Kriterien!U191</f>
        <v>Visitation</v>
      </c>
      <c r="R188" s="416" t="str">
        <f>Kriterien!V191</f>
        <v>Visite</v>
      </c>
      <c r="S188" s="412" t="str">
        <f t="shared" si="17"/>
        <v>Visitation</v>
      </c>
      <c r="U188"/>
      <c r="V188" s="2041"/>
    </row>
    <row r="189" spans="1:22" s="21" customFormat="1" ht="37">
      <c r="A189" s="527"/>
      <c r="B189" s="433"/>
      <c r="C189" s="50" t="s">
        <v>277</v>
      </c>
      <c r="D189" s="115" t="str">
        <f t="shared" si="18"/>
        <v xml:space="preserve">Sämtliche für die Behandlung der jeweiligen Patienten Laborleistungen (Chemie, Hämatologie) müssen entweder intern oder extern und zeitgerecht verfügbar sein. </v>
      </c>
      <c r="E189" s="6" t="str">
        <f t="shared" si="19"/>
        <v>Visitation</v>
      </c>
      <c r="F189" s="162"/>
      <c r="J189" s="2041"/>
      <c r="K189"/>
      <c r="N189" s="415" t="str">
        <f>Kriterien!R192</f>
        <v xml:space="preserve">Sämtliche für die Behandlung der jeweiligen Patienten Laborleistungen (Chemie, Hämatologie) müssen entweder intern oder extern und zeitgerecht verfügbar sein. </v>
      </c>
      <c r="O189" s="428" t="str">
        <f>Kriterien!S192</f>
        <v xml:space="preserve">Il doit fournir en temps utiles toutes les prestations de laboratoire nécessaires au traitement des patients (biochimie, hématologie), qu'elles soient prises en charge en interne ou sous-traitées. </v>
      </c>
      <c r="P189" s="412" t="str">
        <f t="shared" si="16"/>
        <v xml:space="preserve">Sämtliche für die Behandlung der jeweiligen Patienten Laborleistungen (Chemie, Hämatologie) müssen entweder intern oder extern und zeitgerecht verfügbar sein. </v>
      </c>
      <c r="Q189" s="415" t="str">
        <f>Kriterien!U192</f>
        <v>Visitation</v>
      </c>
      <c r="R189" s="416" t="str">
        <f>Kriterien!V192</f>
        <v>Visite</v>
      </c>
      <c r="S189" s="412" t="str">
        <f t="shared" si="17"/>
        <v>Visitation</v>
      </c>
      <c r="U189"/>
      <c r="V189" s="2041"/>
    </row>
    <row r="190" spans="1:22" s="21" customFormat="1" ht="42">
      <c r="A190" s="527"/>
      <c r="B190" s="433"/>
      <c r="C190" s="50" t="s">
        <v>278</v>
      </c>
      <c r="D190" s="115" t="str">
        <f t="shared" si="18"/>
        <v>Mikrobiologische Untersuchungen inklusive Antibiotikaresistenzprüfungen, sowie Serologien und Virennachweise müssen intern oder extern zeitgerecht zur Verfügung stehen.</v>
      </c>
      <c r="E190" s="6" t="str">
        <f t="shared" si="19"/>
        <v>Visitation</v>
      </c>
      <c r="F190" s="162"/>
      <c r="J190" s="2041"/>
      <c r="K190"/>
      <c r="N190" s="415" t="str">
        <f>Kriterien!R193</f>
        <v>Mikrobiologische Untersuchungen inklusive Antibiotikaresistenzprüfungen, sowie Serologien und Virennachweise müssen intern oder extern zeitgerecht zur Verfügung stehen.</v>
      </c>
      <c r="O190" s="428" t="str">
        <f>Kriterien!S193</f>
        <v>Les analyses de microbiologie, y compris les tests de résistance aux antibiotiques, les sérologies et examens de virologie, doivent être effectuées en interne ou sous-traitées en temps utiles.</v>
      </c>
      <c r="P190" s="412" t="str">
        <f t="shared" si="16"/>
        <v>Mikrobiologische Untersuchungen inklusive Antibiotikaresistenzprüfungen, sowie Serologien und Virennachweise müssen intern oder extern zeitgerecht zur Verfügung stehen.</v>
      </c>
      <c r="Q190" s="415" t="str">
        <f>Kriterien!U193</f>
        <v>Visitation</v>
      </c>
      <c r="R190" s="416" t="str">
        <f>Kriterien!V193</f>
        <v>Visite</v>
      </c>
      <c r="S190" s="412" t="str">
        <f t="shared" si="17"/>
        <v>Visitation</v>
      </c>
      <c r="U190"/>
      <c r="V190" s="2041"/>
    </row>
    <row r="191" spans="1:22" s="21" customFormat="1" ht="61">
      <c r="A191" s="532"/>
      <c r="B191" s="433"/>
      <c r="C191" s="60" t="s">
        <v>279</v>
      </c>
      <c r="D191" s="58" t="str">
        <f t="shared" si="18"/>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E191" s="58" t="str">
        <f t="shared" si="19"/>
        <v>Visitation</v>
      </c>
      <c r="F191" s="162"/>
      <c r="J191" s="2041"/>
      <c r="K191"/>
      <c r="N191" s="415" t="str">
        <f>Kriterien!R194</f>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O191" s="428" t="str">
        <f>Kriterien!S194</f>
        <v>Dans le cas où l’USI gère son propre appareil de laboratoire, elle doit s’assurer du respect des exigences de la Commission suisse pour l'assurance de qualité dans le laboratoire médical, fondées sur l’article 58 de la loi sur l'assurance-maladie (LAMal) et l’article 77 de l’ordonnance correspondante (OAMal).</v>
      </c>
      <c r="P191" s="412" t="str">
        <f t="shared" si="16"/>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Q191" s="415" t="str">
        <f>Kriterien!U194</f>
        <v>Visitation</v>
      </c>
      <c r="R191" s="416" t="str">
        <f>Kriterien!V194</f>
        <v>Visite</v>
      </c>
      <c r="S191" s="412" t="str">
        <f t="shared" si="17"/>
        <v>Visitation</v>
      </c>
      <c r="U191"/>
      <c r="V191" s="2041"/>
    </row>
    <row r="192" spans="1:22" s="21" customFormat="1" ht="18">
      <c r="A192" s="433"/>
      <c r="B192" s="433"/>
      <c r="C192" s="40">
        <v>5.2</v>
      </c>
      <c r="D192" s="9" t="str">
        <f t="shared" si="18"/>
        <v>Radiologie</v>
      </c>
      <c r="E192" s="15" t="str">
        <f t="shared" si="19"/>
        <v>Visitation</v>
      </c>
      <c r="F192" s="162"/>
      <c r="J192" s="2041"/>
      <c r="K192"/>
      <c r="N192" s="415" t="str">
        <f>Kriterien!R195</f>
        <v>Radiologie</v>
      </c>
      <c r="O192" s="428" t="str">
        <f>Kriterien!S195</f>
        <v>Radiologie</v>
      </c>
      <c r="P192" s="412" t="str">
        <f t="shared" si="16"/>
        <v>Radiologie</v>
      </c>
      <c r="Q192" s="415" t="str">
        <f>Kriterien!U195</f>
        <v>Visitation</v>
      </c>
      <c r="R192" s="416" t="str">
        <f>Kriterien!V195</f>
        <v>Visite</v>
      </c>
      <c r="S192" s="412" t="str">
        <f t="shared" si="17"/>
        <v>Visitation</v>
      </c>
      <c r="U192"/>
      <c r="V192" s="2041"/>
    </row>
    <row r="193" spans="1:22" s="21" customFormat="1" ht="28">
      <c r="A193" s="527"/>
      <c r="B193" s="433"/>
      <c r="C193" s="46" t="s">
        <v>280</v>
      </c>
      <c r="D193" s="15" t="str">
        <f t="shared" si="18"/>
        <v>Konventionelle Röntgenaufnahmen von Thorax und Abdomen müssen auf der IS durchgeführt werden können.</v>
      </c>
      <c r="E193" s="6" t="str">
        <f t="shared" si="19"/>
        <v>Visitation</v>
      </c>
      <c r="F193" s="162"/>
      <c r="J193" s="2041"/>
      <c r="K193"/>
      <c r="N193" s="415" t="str">
        <f>Kriterien!R196</f>
        <v>Konventionelle Röntgenaufnahmen von Thorax und Abdomen müssen auf der IS durchgeführt werden können.</v>
      </c>
      <c r="O193" s="428" t="str">
        <f>Kriterien!S196</f>
        <v>Des radiographies classiques du thorax et de l’abdomen doivent pouvoir être réalisées dans l’USI.</v>
      </c>
      <c r="P193" s="412" t="str">
        <f t="shared" si="16"/>
        <v>Konventionelle Röntgenaufnahmen von Thorax und Abdomen müssen auf der IS durchgeführt werden können.</v>
      </c>
      <c r="Q193" s="415" t="str">
        <f>Kriterien!U196</f>
        <v>Visitation</v>
      </c>
      <c r="R193" s="416" t="str">
        <f>Kriterien!V196</f>
        <v>Visite</v>
      </c>
      <c r="S193" s="412" t="str">
        <f t="shared" si="17"/>
        <v>Visitation</v>
      </c>
      <c r="U193"/>
      <c r="V193" s="2041"/>
    </row>
    <row r="194" spans="1:22" s="21" customFormat="1" ht="37">
      <c r="A194" s="527"/>
      <c r="B194" s="433"/>
      <c r="C194" s="41" t="s">
        <v>281</v>
      </c>
      <c r="D194" s="6" t="str">
        <f t="shared" si="18"/>
        <v>Ein Computertomograph muss innerhalb des Spitals kontinuierlich zur Verfügung stehen. Die Befundung der Computertomogramme muss sichergestellt sein.</v>
      </c>
      <c r="E194" s="6" t="str">
        <f t="shared" si="19"/>
        <v/>
      </c>
      <c r="F194" s="162"/>
      <c r="J194" s="2041"/>
      <c r="K194"/>
      <c r="N194" s="415" t="str">
        <f>Kriterien!R197</f>
        <v>Ein Computertomograph muss innerhalb des Spitals kontinuierlich zur Verfügung stehen. Die Befundung der Computertomogramme muss sichergestellt sein.</v>
      </c>
      <c r="O194" s="428" t="str">
        <f>Kriterien!S197</f>
        <v>Un CT doit être disponible en permanence au sein de l’hôpital. L’interprétation des images sannographiques doit être assurée.</v>
      </c>
      <c r="P194" s="412" t="str">
        <f t="shared" si="16"/>
        <v>Ein Computertomograph muss innerhalb des Spitals kontinuierlich zur Verfügung stehen. Die Befundung der Computertomogramme muss sichergestellt sein.</v>
      </c>
      <c r="Q194" s="415">
        <f>Kriterien!U197</f>
        <v>0</v>
      </c>
      <c r="R194" s="416" t="str">
        <f>Kriterien!V197</f>
        <v>Visite</v>
      </c>
      <c r="S194" s="412" t="str">
        <f t="shared" si="17"/>
        <v/>
      </c>
      <c r="U194"/>
      <c r="V194" s="2041"/>
    </row>
    <row r="195" spans="1:22" s="21" customFormat="1" ht="18">
      <c r="A195" s="526"/>
      <c r="B195" s="433"/>
      <c r="C195" s="40">
        <v>5.3</v>
      </c>
      <c r="D195" s="9" t="str">
        <f t="shared" si="18"/>
        <v>Weitere diagnostische Untersuchungen</v>
      </c>
      <c r="E195" s="9" t="str">
        <f t="shared" si="19"/>
        <v/>
      </c>
      <c r="F195" s="162"/>
      <c r="J195" s="2041"/>
      <c r="K195"/>
      <c r="N195" s="415" t="str">
        <f>Kriterien!R198</f>
        <v>Weitere diagnostische Untersuchungen</v>
      </c>
      <c r="O195" s="428" t="str">
        <f>Kriterien!S198</f>
        <v>Autres examens diagnostiques</v>
      </c>
      <c r="P195" s="412" t="str">
        <f t="shared" si="16"/>
        <v>Weitere diagnostische Untersuchungen</v>
      </c>
      <c r="Q195" s="415">
        <f>Kriterien!U198</f>
        <v>0</v>
      </c>
      <c r="R195" s="416">
        <f>Kriterien!V198</f>
        <v>0</v>
      </c>
      <c r="S195" s="412" t="str">
        <f t="shared" si="17"/>
        <v/>
      </c>
      <c r="U195"/>
      <c r="V195" s="2041"/>
    </row>
    <row r="196" spans="1:22" s="21" customFormat="1" ht="61">
      <c r="A196" s="527"/>
      <c r="B196" s="433"/>
      <c r="C196" s="41" t="s">
        <v>282</v>
      </c>
      <c r="D196" s="7" t="str">
        <f t="shared" si="18"/>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E196" s="6" t="str">
        <f t="shared" si="19"/>
        <v>Visitation</v>
      </c>
      <c r="F196" s="162"/>
      <c r="J196" s="2041"/>
      <c r="K196"/>
      <c r="N196" s="415" t="str">
        <f>Kriterien!R199</f>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O196" s="428" t="str">
        <f>Kriterien!S199</f>
        <v>Les examens et mesures suivants doivent pouvoir être réalisés à tout moment dans l’USI : examens échographiques, échocardiographies, bronchoscopies flexibles, endoscopies digestives haute et basse, électrocardiogrammes à 12 dérivations, poids corporel.</v>
      </c>
      <c r="P196" s="412" t="str">
        <f t="shared" si="16"/>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Q196" s="415" t="str">
        <f>Kriterien!U199</f>
        <v>Visitation</v>
      </c>
      <c r="R196" s="416" t="str">
        <f>Kriterien!V199</f>
        <v>Visite</v>
      </c>
      <c r="S196" s="412" t="str">
        <f t="shared" si="17"/>
        <v>Visitation</v>
      </c>
      <c r="U196"/>
      <c r="V196" s="2041"/>
    </row>
    <row r="197" spans="1:22" s="21" customFormat="1" ht="18">
      <c r="A197" s="526"/>
      <c r="B197" s="433"/>
      <c r="C197" s="40">
        <v>5.4</v>
      </c>
      <c r="D197" s="9" t="str">
        <f t="shared" si="18"/>
        <v>Notwendige Überwachungsgeräte (Monitoring)</v>
      </c>
      <c r="E197" s="9" t="str">
        <f t="shared" si="19"/>
        <v/>
      </c>
      <c r="F197" s="162"/>
      <c r="J197" s="2041"/>
      <c r="K197"/>
      <c r="N197" s="415" t="str">
        <f>Kriterien!R200</f>
        <v>Notwendige Überwachungsgeräte (Monitoring)</v>
      </c>
      <c r="O197" s="428" t="str">
        <f>Kriterien!S200</f>
        <v>Appareils indispensables à la surveillance (monitorage)</v>
      </c>
      <c r="P197" s="412" t="str">
        <f t="shared" si="16"/>
        <v>Notwendige Überwachungsgeräte (Monitoring)</v>
      </c>
      <c r="Q197" s="415">
        <f>Kriterien!U200</f>
        <v>0</v>
      </c>
      <c r="R197" s="416">
        <f>Kriterien!V200</f>
        <v>0</v>
      </c>
      <c r="S197" s="412" t="str">
        <f t="shared" si="17"/>
        <v/>
      </c>
      <c r="U197"/>
      <c r="V197" s="2041"/>
    </row>
    <row r="198" spans="1:22" s="21" customFormat="1" ht="85">
      <c r="A198" s="527"/>
      <c r="B198" s="433"/>
      <c r="C198" s="41" t="s">
        <v>283</v>
      </c>
      <c r="D198" s="57" t="str">
        <f t="shared" si="18"/>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E198" s="15" t="str">
        <f t="shared" si="19"/>
        <v>Visitation</v>
      </c>
      <c r="F198" s="162"/>
      <c r="J198" s="2041"/>
      <c r="K198"/>
      <c r="N198" s="415" t="str">
        <f>Kriterien!R201</f>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O198" s="428" t="str">
        <f>Kriterien!S201</f>
        <v xml:space="preserve">L'USI dispose d'un nombre suffisant de moniteurs permettant la surveillance de tous les patients. Surveillance cardiovasculaire : surveillance permanente de l’ECG et de la pression artérielle et veineuse invasive et mesure intermittente ou continue du débit cardiaque. Surveillance respiratoire : oxymétrie de pouls, CO2 télé-expiratoire, fréquence respiratoire. Température corporelle, y compris surveillance de l'hypothermie. </v>
      </c>
      <c r="P198" s="412" t="str">
        <f t="shared" si="16"/>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Q198" s="415" t="str">
        <f>Kriterien!U201</f>
        <v>Visitation</v>
      </c>
      <c r="R198" s="416" t="str">
        <f>Kriterien!V201</f>
        <v>Visite</v>
      </c>
      <c r="S198" s="412" t="str">
        <f t="shared" si="17"/>
        <v>Visitation</v>
      </c>
      <c r="U198"/>
      <c r="V198" s="2041"/>
    </row>
    <row r="199" spans="1:22" s="21" customFormat="1" ht="37">
      <c r="A199" s="527"/>
      <c r="B199" s="433"/>
      <c r="C199" s="41" t="s">
        <v>284</v>
      </c>
      <c r="D199" s="115" t="str">
        <f t="shared" si="18"/>
        <v>Die vorhandenen und eingesetzten Monitoringmethoden entsprechen generell dem Patientengut der Station in Art und Schweregrad der Erkrankung.</v>
      </c>
      <c r="E199" s="15" t="str">
        <f t="shared" si="19"/>
        <v>Visitation</v>
      </c>
      <c r="F199" s="162"/>
      <c r="J199" s="2041"/>
      <c r="K199"/>
      <c r="N199" s="415" t="str">
        <f>Kriterien!R202</f>
        <v>Die vorhandenen und eingesetzten Monitoringmethoden entsprechen generell dem Patientengut der Station in Art und Schweregrad der Erkrankung.</v>
      </c>
      <c r="O199" s="428" t="str">
        <f>Kriterien!S202</f>
        <v>Ces méthodes de monitorage doivent correspondre aux besoins et types de patients au sein de l'USI. aux types et besoins des patients au sein de l’Unité.</v>
      </c>
      <c r="P199" s="412" t="str">
        <f t="shared" si="16"/>
        <v>Die vorhandenen und eingesetzten Monitoringmethoden entsprechen generell dem Patientengut der Station in Art und Schweregrad der Erkrankung.</v>
      </c>
      <c r="Q199" s="415" t="str">
        <f>Kriterien!U202</f>
        <v>Visitation</v>
      </c>
      <c r="R199" s="416" t="str">
        <f>Kriterien!V202</f>
        <v>Visite</v>
      </c>
      <c r="S199" s="412" t="str">
        <f t="shared" si="17"/>
        <v>Visitation</v>
      </c>
      <c r="U199"/>
      <c r="V199" s="2041"/>
    </row>
    <row r="200" spans="1:22" s="21" customFormat="1" ht="18">
      <c r="A200" s="432"/>
      <c r="B200" s="432"/>
      <c r="C200" s="39">
        <v>6</v>
      </c>
      <c r="D200" s="3" t="str">
        <f t="shared" si="18"/>
        <v>Notwendige Einrichtungen für Therapien</v>
      </c>
      <c r="E200" s="24" t="str">
        <f t="shared" si="19"/>
        <v/>
      </c>
      <c r="F200" s="254"/>
      <c r="J200" s="2041"/>
      <c r="K200"/>
      <c r="N200" s="415" t="str">
        <f>Kriterien!R203</f>
        <v>Notwendige Einrichtungen für Therapien</v>
      </c>
      <c r="O200" s="428" t="str">
        <f>Kriterien!S203</f>
        <v>Équipements thérapeutiques indispensables</v>
      </c>
      <c r="P200" s="412" t="str">
        <f t="shared" si="16"/>
        <v>Notwendige Einrichtungen für Therapien</v>
      </c>
      <c r="Q200" s="415">
        <f>Kriterien!U203</f>
        <v>0</v>
      </c>
      <c r="R200" s="416">
        <f>Kriterien!V203</f>
        <v>0</v>
      </c>
      <c r="S200" s="412" t="str">
        <f t="shared" si="17"/>
        <v/>
      </c>
      <c r="U200"/>
      <c r="V200" s="2041"/>
    </row>
    <row r="201" spans="1:22" s="21" customFormat="1" ht="189.75" customHeight="1">
      <c r="A201" s="527"/>
      <c r="B201" s="433"/>
      <c r="C201" s="48" t="s">
        <v>285</v>
      </c>
      <c r="D201" s="5" t="str">
        <f t="shared" si="18"/>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E201" s="10" t="str">
        <f t="shared" si="19"/>
        <v>Visitation</v>
      </c>
      <c r="F201" s="162"/>
      <c r="J201" s="2041"/>
      <c r="K201"/>
      <c r="N201" s="415" t="str">
        <f>Kriterien!R204</f>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O201" s="428" t="str">
        <f>Kriterien!S204</f>
        <v>L’administration de médicaments et de produits sanguins est assurée en tout temps. Les médicaments d’urgence sont disponibles sur place, d’autres médicaments relevant et produits sanguins sont stockés dans l’hôpital et rapidement disponibles. La pratique de la ventilation non-invasive et mécanique et le traitement des complications potentielles de la ventilation sont garantie en tout temps. Les moyens suivants sont disponibles : de l’oxygène, des masque et ballons de ventilation, du matériel d’intubation y.c. des tubes spécifiques, des moyens d’intubation difficile y.c. bronchoscopie. Des ventilateurs de soins intensifs et de transport sont disponibles, ainsi que du matériel pour la trachéotomie d’urgence et le drainage thoracique. Des moyens d’enregistrement d’ECG, de défibrillation et de pacing temporaire sont disponibles. L’USI dispose d’au moins un moyen de monitoring hémodynamique invasif avancé. L’épuration extrarénale peut être pratiquée dans l’USI. L’USI dispose d’un moyen de contrôle de la température corporelle avec possibilité de refroidissement et de réchauffement. Le parc de matériel est conçu de tel sorte que même en cas d’occupation de tous les lits, le matériel doit couvrir les besoins habituels des caractéristiques des patients (selon les données MDSi).</v>
      </c>
      <c r="P201" s="412" t="str">
        <f t="shared" si="16"/>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Q201" s="415" t="str">
        <f>Kriterien!U204</f>
        <v>Visitation</v>
      </c>
      <c r="R201" s="416" t="str">
        <f>Kriterien!V204</f>
        <v>Visite</v>
      </c>
      <c r="S201" s="412" t="str">
        <f t="shared" si="17"/>
        <v>Visitation</v>
      </c>
      <c r="U201"/>
      <c r="V201" s="2041"/>
    </row>
    <row r="202" spans="1:22" s="21" customFormat="1" ht="28">
      <c r="A202" s="527"/>
      <c r="B202" s="433"/>
      <c r="C202" s="48" t="s">
        <v>286</v>
      </c>
      <c r="D202" s="115" t="str">
        <f t="shared" si="18"/>
        <v>Die Anzahl und Art der Therapiegeräte entspricht dem Patientengut in Art und Schweregrad der Erkrankung.</v>
      </c>
      <c r="E202" s="10" t="str">
        <f t="shared" si="19"/>
        <v>Visitation</v>
      </c>
      <c r="F202" s="162"/>
      <c r="J202" s="2041"/>
      <c r="K202"/>
      <c r="N202" s="415" t="str">
        <f>Kriterien!R205</f>
        <v>Die Anzahl und Art der Therapiegeräte entspricht dem Patientengut in Art und Schweregrad der Erkrankung.</v>
      </c>
      <c r="O202" s="428" t="str">
        <f>Kriterien!S205</f>
        <v>Le nombre et la nature des appareils thérapeutiques correspondent aux types et niveaux de gravité des pathologies des patients.</v>
      </c>
      <c r="P202" s="412" t="str">
        <f t="shared" si="16"/>
        <v>Die Anzahl und Art der Therapiegeräte entspricht dem Patientengut in Art und Schweregrad der Erkrankung.</v>
      </c>
      <c r="Q202" s="415" t="str">
        <f>Kriterien!U205</f>
        <v>Visitation</v>
      </c>
      <c r="R202" s="416" t="str">
        <f>Kriterien!V205</f>
        <v>Visite</v>
      </c>
      <c r="S202" s="412" t="str">
        <f t="shared" si="17"/>
        <v>Visitation</v>
      </c>
      <c r="U202"/>
      <c r="V202" s="2041"/>
    </row>
    <row r="203" spans="1:22" s="189" customFormat="1" ht="18">
      <c r="A203" s="432"/>
      <c r="B203" s="432"/>
      <c r="C203" s="39">
        <v>7</v>
      </c>
      <c r="D203" s="3" t="str">
        <f t="shared" si="18"/>
        <v>Transporte</v>
      </c>
      <c r="E203" s="24" t="str">
        <f t="shared" si="19"/>
        <v/>
      </c>
      <c r="F203" s="62"/>
      <c r="J203" s="2041"/>
      <c r="K203"/>
      <c r="N203" s="415" t="str">
        <f>Kriterien!R206</f>
        <v>Transporte</v>
      </c>
      <c r="O203" s="428" t="str">
        <f>Kriterien!S206</f>
        <v>Transports</v>
      </c>
      <c r="P203" s="412" t="str">
        <f t="shared" si="16"/>
        <v>Transporte</v>
      </c>
      <c r="Q203" s="415">
        <f>Kriterien!U206</f>
        <v>0</v>
      </c>
      <c r="R203" s="416">
        <f>Kriterien!V206</f>
        <v>0</v>
      </c>
      <c r="S203" s="412" t="str">
        <f t="shared" si="17"/>
        <v/>
      </c>
      <c r="U203"/>
      <c r="V203" s="2041"/>
    </row>
    <row r="204" spans="1:22" s="21" customFormat="1" ht="18">
      <c r="A204" s="526"/>
      <c r="B204" s="433"/>
      <c r="C204" s="40">
        <v>7.1</v>
      </c>
      <c r="D204" s="9" t="str">
        <f t="shared" si="18"/>
        <v>Verlegung</v>
      </c>
      <c r="E204" s="32" t="str">
        <f t="shared" si="19"/>
        <v/>
      </c>
      <c r="F204" s="162"/>
      <c r="J204" s="2041"/>
      <c r="K204"/>
      <c r="N204" s="415" t="str">
        <f>Kriterien!R207</f>
        <v>Verlegung</v>
      </c>
      <c r="O204" s="428" t="str">
        <f>Kriterien!S207</f>
        <v>Transfert</v>
      </c>
      <c r="P204" s="412" t="str">
        <f t="shared" si="16"/>
        <v>Verlegung</v>
      </c>
      <c r="Q204" s="415">
        <f>Kriterien!U207</f>
        <v>0</v>
      </c>
      <c r="R204" s="416">
        <f>Kriterien!V207</f>
        <v>0</v>
      </c>
      <c r="S204" s="412" t="str">
        <f t="shared" si="17"/>
        <v/>
      </c>
      <c r="U204"/>
      <c r="V204" s="2041"/>
    </row>
    <row r="205" spans="1:22" s="21" customFormat="1" ht="49">
      <c r="A205" s="527"/>
      <c r="B205" s="433"/>
      <c r="C205" s="50" t="s">
        <v>287</v>
      </c>
      <c r="D205" s="5" t="str">
        <f t="shared" si="18"/>
        <v>Patienten, die auf der IS aus personellen, materiellen oder fachlichen Gründen nicht adäquat versorgt werden können, müssen innert nützlicher Frist und in möglichst stabilisiertem Zustand in entsprechend ausgerüstete Zentren verlegt werden.</v>
      </c>
      <c r="E205" s="10" t="str">
        <f t="shared" si="19"/>
        <v>Visitation</v>
      </c>
      <c r="F205" s="162"/>
      <c r="J205" s="2041"/>
      <c r="K205"/>
      <c r="N205" s="415" t="str">
        <f>Kriterien!R208</f>
        <v>Patienten, die auf der IS aus personellen, materiellen oder fachlichen Gründen nicht adäquat versorgt werden können, müssen innert nützlicher Frist und in möglichst stabilisiertem Zustand in entsprechend ausgerüstete Zentren verlegt werden.</v>
      </c>
      <c r="O205" s="428" t="str">
        <f>Kriterien!S208</f>
        <v>Les patients qui ne peuvent pas être pris en charge dans l'USI de manière adéquate pour des raisons de personnel, de matériel ou de technique doivent être transférés dans les meilleurs délais vers des centres équipés de manière appropriée, une fois leur état stabilisé au mieux.</v>
      </c>
      <c r="P205" s="412" t="str">
        <f t="shared" si="16"/>
        <v>Patienten, die auf der IS aus personellen, materiellen oder fachlichen Gründen nicht adäquat versorgt werden können, müssen innert nützlicher Frist und in möglichst stabilisiertem Zustand in entsprechend ausgerüstete Zentren verlegt werden.</v>
      </c>
      <c r="Q205" s="415" t="str">
        <f>Kriterien!U208</f>
        <v>Visitation</v>
      </c>
      <c r="R205" s="416" t="str">
        <f>Kriterien!V208</f>
        <v>Visite</v>
      </c>
      <c r="S205" s="412" t="str">
        <f t="shared" si="17"/>
        <v>Visitation</v>
      </c>
      <c r="U205"/>
      <c r="V205" s="2041"/>
    </row>
    <row r="206" spans="1:22" s="21" customFormat="1" ht="18">
      <c r="A206" s="526"/>
      <c r="B206" s="433"/>
      <c r="C206" s="40">
        <v>7.2</v>
      </c>
      <c r="D206" s="9" t="str">
        <f t="shared" si="18"/>
        <v>Transportbegleitung</v>
      </c>
      <c r="E206" s="32" t="str">
        <f t="shared" si="19"/>
        <v/>
      </c>
      <c r="F206" s="162"/>
      <c r="J206" s="2041"/>
      <c r="K206"/>
      <c r="N206" s="415" t="str">
        <f>Kriterien!R209</f>
        <v>Transportbegleitung</v>
      </c>
      <c r="O206" s="428" t="str">
        <f>Kriterien!S209</f>
        <v>Accompagnement lors du transport</v>
      </c>
      <c r="P206" s="412" t="str">
        <f t="shared" si="16"/>
        <v>Transportbegleitung</v>
      </c>
      <c r="Q206" s="415">
        <f>Kriterien!U209</f>
        <v>0</v>
      </c>
      <c r="R206" s="416">
        <f>Kriterien!V209</f>
        <v>0</v>
      </c>
      <c r="S206" s="412" t="str">
        <f t="shared" si="17"/>
        <v/>
      </c>
      <c r="U206"/>
      <c r="V206" s="2041"/>
    </row>
    <row r="207" spans="1:22" s="21" customFormat="1" ht="49">
      <c r="A207" s="527"/>
      <c r="B207" s="433"/>
      <c r="C207" s="50" t="s">
        <v>288</v>
      </c>
      <c r="D207" s="5" t="str">
        <f t="shared" si="18"/>
        <v>Die Transportbegleitung muss durch qualifiziertes Personal mit entsprechender Ausbildung und Ausrüstung erfolgen, sodass jede Störung der Vitalfunktionen rechtzeitig erkannt und behandelt werden kann.</v>
      </c>
      <c r="E207" s="10" t="str">
        <f t="shared" si="19"/>
        <v>Visitation</v>
      </c>
      <c r="F207" s="162"/>
      <c r="J207" s="2041"/>
      <c r="K207"/>
      <c r="N207" s="415" t="str">
        <f>Kriterien!R210</f>
        <v>Die Transportbegleitung muss durch qualifiziertes Personal mit entsprechender Ausbildung und Ausrüstung erfolgen, sodass jede Störung der Vitalfunktionen rechtzeitig erkannt und behandelt werden kann.</v>
      </c>
      <c r="O207" s="428" t="str">
        <f>Kriterien!S210</f>
        <v>Le patient doit être accompagné par un personnel qualifié et disposant d’une formation et de l’équipement adaptés, de façon à permettre la détection et le traitement de toute défaillance des fonctions dans les meilleurs délais.</v>
      </c>
      <c r="P207" s="412" t="str">
        <f t="shared" si="16"/>
        <v>Die Transportbegleitung muss durch qualifiziertes Personal mit entsprechender Ausbildung und Ausrüstung erfolgen, sodass jede Störung der Vitalfunktionen rechtzeitig erkannt und behandelt werden kann.</v>
      </c>
      <c r="Q207" s="415" t="str">
        <f>Kriterien!U210</f>
        <v>Visitation</v>
      </c>
      <c r="R207" s="416" t="str">
        <f>Kriterien!V210</f>
        <v>Visite</v>
      </c>
      <c r="S207" s="412" t="str">
        <f t="shared" si="17"/>
        <v>Visitation</v>
      </c>
      <c r="U207"/>
      <c r="V207" s="2041"/>
    </row>
    <row r="208" spans="1:22" s="189" customFormat="1" ht="18">
      <c r="A208" s="432"/>
      <c r="B208" s="432"/>
      <c r="C208" s="39">
        <v>8</v>
      </c>
      <c r="D208" s="3" t="str">
        <f t="shared" si="18"/>
        <v>Lehre und Forschung</v>
      </c>
      <c r="E208" s="24" t="str">
        <f t="shared" si="19"/>
        <v/>
      </c>
      <c r="F208" s="62"/>
      <c r="J208" s="2041"/>
      <c r="K208"/>
      <c r="N208" s="415" t="str">
        <f>Kriterien!R211</f>
        <v>Lehre und Forschung</v>
      </c>
      <c r="O208" s="428" t="str">
        <f>Kriterien!S211</f>
        <v>Enseignement et recherche</v>
      </c>
      <c r="P208" s="412" t="str">
        <f t="shared" si="16"/>
        <v>Lehre und Forschung</v>
      </c>
      <c r="Q208" s="415">
        <f>Kriterien!U211</f>
        <v>0</v>
      </c>
      <c r="R208" s="416">
        <f>Kriterien!V211</f>
        <v>0</v>
      </c>
      <c r="S208" s="412" t="str">
        <f t="shared" si="17"/>
        <v/>
      </c>
      <c r="U208"/>
      <c r="V208" s="2041"/>
    </row>
    <row r="209" spans="1:22" s="21" customFormat="1" ht="18">
      <c r="A209" s="526"/>
      <c r="B209" s="433"/>
      <c r="C209" s="40">
        <v>8.1</v>
      </c>
      <c r="D209" s="9" t="str">
        <f t="shared" si="18"/>
        <v>Fortbildung Pflege</v>
      </c>
      <c r="E209" s="32" t="str">
        <f t="shared" si="19"/>
        <v/>
      </c>
      <c r="F209" s="162"/>
      <c r="J209" s="2041"/>
      <c r="K209"/>
      <c r="N209" s="415" t="str">
        <f>Kriterien!R212</f>
        <v>Fortbildung Pflege</v>
      </c>
      <c r="O209" s="428" t="str">
        <f>Kriterien!S212</f>
        <v>Formation continue du personnel soignant</v>
      </c>
      <c r="P209" s="412" t="str">
        <f t="shared" si="16"/>
        <v>Fortbildung Pflege</v>
      </c>
      <c r="Q209" s="415">
        <f>Kriterien!U212</f>
        <v>0</v>
      </c>
      <c r="R209" s="416">
        <f>Kriterien!V212</f>
        <v>0</v>
      </c>
      <c r="S209" s="412" t="str">
        <f t="shared" si="17"/>
        <v/>
      </c>
      <c r="U209"/>
      <c r="V209" s="2041"/>
    </row>
    <row r="210" spans="1:22" s="21" customFormat="1" ht="73">
      <c r="A210" s="527"/>
      <c r="B210" s="433"/>
      <c r="C210" s="50" t="s">
        <v>289</v>
      </c>
      <c r="D210" s="5" t="str">
        <f t="shared" si="18"/>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E210" s="10" t="str">
        <f t="shared" si="19"/>
        <v>Visitation, Dokument</v>
      </c>
      <c r="F210" s="162"/>
      <c r="J210" s="2041"/>
      <c r="K210"/>
      <c r="N210" s="415" t="str">
        <f>Kriterien!R213</f>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O210" s="428" t="str">
        <f>Kriterien!S213</f>
        <v>Le personnel soignant doit régulièrement se former dans les domaines relevant des soins infirmiers, de la médecine intensive et de la technique. Le responsable du personnel soignant de l’USI tient une liste des colloques internes de formation continue dont a bénéficié le personnel soignant de l'USI. Une documentation de la participation du personnel soignant à des sessions de formation continue, tant internes qu’externes, doit être assurée.</v>
      </c>
      <c r="P210" s="412" t="str">
        <f t="shared" si="16"/>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Q210" s="415" t="str">
        <f>Kriterien!U213</f>
        <v>Visitation, Dokument</v>
      </c>
      <c r="R210" s="416" t="str">
        <f>Kriterien!V213</f>
        <v>Visite, document</v>
      </c>
      <c r="S210" s="412" t="str">
        <f t="shared" si="17"/>
        <v>Visitation, Dokument</v>
      </c>
      <c r="U210"/>
      <c r="V210" s="2041"/>
    </row>
    <row r="211" spans="1:22" s="21" customFormat="1" ht="18">
      <c r="A211" s="526"/>
      <c r="B211" s="433"/>
      <c r="C211" s="40">
        <v>8.1999999999999993</v>
      </c>
      <c r="D211" s="9" t="str">
        <f t="shared" si="18"/>
        <v>Fortbildung Ärzte</v>
      </c>
      <c r="E211" s="32" t="str">
        <f t="shared" si="19"/>
        <v/>
      </c>
      <c r="F211" s="162"/>
      <c r="J211" s="2041"/>
      <c r="K211"/>
      <c r="N211" s="415" t="str">
        <f>Kriterien!R214</f>
        <v>Fortbildung Ärzte</v>
      </c>
      <c r="O211" s="428" t="str">
        <f>Kriterien!S214</f>
        <v>Formation continue des médecins</v>
      </c>
      <c r="P211" s="412" t="str">
        <f t="shared" si="16"/>
        <v>Fortbildung Ärzte</v>
      </c>
      <c r="Q211" s="415">
        <f>Kriterien!U214</f>
        <v>0</v>
      </c>
      <c r="R211" s="416">
        <f>Kriterien!V214</f>
        <v>0</v>
      </c>
      <c r="S211" s="412" t="str">
        <f t="shared" si="17"/>
        <v/>
      </c>
      <c r="U211"/>
      <c r="V211" s="2041"/>
    </row>
    <row r="212" spans="1:22" s="21" customFormat="1" ht="42">
      <c r="A212" s="527"/>
      <c r="B212" s="433"/>
      <c r="C212" s="50" t="s">
        <v>290</v>
      </c>
      <c r="D212" s="5" t="str">
        <f t="shared" si="18"/>
        <v>Die Fortbildung der Ärzte mit FMH Intensivmedizin ist im Fortbildungsprogramm der SGI geregelt. Anerkannte Intensivstationen müssen ihrer Ärzteschaft diese Fortbildungsaktivitäten ermöglichen.</v>
      </c>
      <c r="E212" s="10" t="str">
        <f t="shared" si="19"/>
        <v>Visitation</v>
      </c>
      <c r="F212" s="162"/>
      <c r="J212" s="2041"/>
      <c r="K212"/>
      <c r="N212" s="415" t="str">
        <f>Kriterien!R215</f>
        <v>Die Fortbildung der Ärzte mit FMH Intensivmedizin ist im Fortbildungsprogramm der SGI geregelt. Anerkannte Intensivstationen müssen ihrer Ärzteschaft diese Fortbildungsaktivitäten ermöglichen.</v>
      </c>
      <c r="O212" s="428" t="str">
        <f>Kriterien!S215</f>
        <v>La formation continue des médecins spécialistes FMH en médecine intensive est inscrite dans le programme de formation continue de la SSMI. Les unités de soins intensifs reconnues doivent permettre à leurs médecins de participer à ces activités de formation continue.</v>
      </c>
      <c r="P212" s="412" t="str">
        <f t="shared" si="16"/>
        <v>Die Fortbildung der Ärzte mit FMH Intensivmedizin ist im Fortbildungsprogramm der SGI geregelt. Anerkannte Intensivstationen müssen ihrer Ärzteschaft diese Fortbildungsaktivitäten ermöglichen.</v>
      </c>
      <c r="Q212" s="415" t="str">
        <f>Kriterien!U215</f>
        <v>Visitation</v>
      </c>
      <c r="R212" s="416" t="str">
        <f>Kriterien!V215</f>
        <v>Visite</v>
      </c>
      <c r="S212" s="412" t="str">
        <f t="shared" si="17"/>
        <v>Visitation</v>
      </c>
      <c r="U212"/>
      <c r="V212" s="2041"/>
    </row>
    <row r="213" spans="1:22" s="21" customFormat="1" ht="18">
      <c r="A213" s="526"/>
      <c r="B213" s="433"/>
      <c r="C213" s="40">
        <v>8.3000000000000007</v>
      </c>
      <c r="D213" s="9" t="str">
        <f t="shared" si="18"/>
        <v>Andere ärztliche Weiterbildungsprogramme</v>
      </c>
      <c r="E213" s="32" t="str">
        <f t="shared" si="19"/>
        <v/>
      </c>
      <c r="F213" s="162"/>
      <c r="J213" s="2041"/>
      <c r="K213"/>
      <c r="N213" s="415" t="str">
        <f>Kriterien!R216</f>
        <v>Andere ärztliche Weiterbildungsprogramme</v>
      </c>
      <c r="O213" s="428" t="str">
        <f>Kriterien!S216</f>
        <v>Autres programmes médicaux de formations postgraduées</v>
      </c>
      <c r="P213" s="412" t="str">
        <f t="shared" si="16"/>
        <v>Andere ärztliche Weiterbildungsprogramme</v>
      </c>
      <c r="Q213" s="415">
        <f>Kriterien!U216</f>
        <v>0</v>
      </c>
      <c r="R213" s="416">
        <f>Kriterien!V216</f>
        <v>0</v>
      </c>
      <c r="S213" s="412" t="str">
        <f t="shared" si="17"/>
        <v/>
      </c>
      <c r="U213"/>
      <c r="V213" s="2041"/>
    </row>
    <row r="214" spans="1:22" s="21" customFormat="1" ht="73">
      <c r="A214" s="527"/>
      <c r="B214" s="433"/>
      <c r="C214" s="50" t="s">
        <v>291</v>
      </c>
      <c r="D214" s="5" t="str">
        <f t="shared" si="18"/>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E214" s="10" t="str">
        <f t="shared" si="19"/>
        <v>Visitation, Dokument</v>
      </c>
      <c r="F214" s="162"/>
      <c r="J214" s="2041"/>
      <c r="K214"/>
      <c r="N214" s="415" t="str">
        <f>Kriterien!R217</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O214" s="428" t="str">
        <f>Kriterien!S217</f>
        <v>Les médecins-assistants qui ne sont pas en formation postgraduée pour le titre de spécialiste en médecine intensive (assistants en rotation) ou les assistants qui travaillent dans une USI non reconnue pour la formation postgraduée de spécialiste en médecine intensive ont besoin, outre d'un programme valable de formation postgraduée, d'une introduction adéquate et d'une formation postgraduée spécialisée en médecine intensive.</v>
      </c>
      <c r="P214" s="412" t="str">
        <f t="shared" ref="P214:P223" si="20">IF(N214=0,"",IF($A$1="D",N214,O214))</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Q214" s="415" t="str">
        <f>Kriterien!U217</f>
        <v>Visitation, Dokument</v>
      </c>
      <c r="R214" s="416" t="str">
        <f>Kriterien!V217</f>
        <v>Visite, document</v>
      </c>
      <c r="S214" s="412" t="str">
        <f t="shared" si="17"/>
        <v>Visitation, Dokument</v>
      </c>
      <c r="U214"/>
      <c r="V214" s="2041"/>
    </row>
    <row r="215" spans="1:22" s="21" customFormat="1" ht="18">
      <c r="A215" s="526"/>
      <c r="B215" s="433"/>
      <c r="C215" s="40">
        <v>8.4</v>
      </c>
      <c r="D215" s="9" t="str">
        <f t="shared" si="18"/>
        <v>Forschung</v>
      </c>
      <c r="E215" s="32" t="str">
        <f t="shared" si="19"/>
        <v/>
      </c>
      <c r="F215" s="162"/>
      <c r="J215" s="2041"/>
      <c r="K215"/>
      <c r="N215" s="415" t="str">
        <f>Kriterien!R218</f>
        <v>Forschung</v>
      </c>
      <c r="O215" s="428" t="str">
        <f>Kriterien!S218</f>
        <v>Recherche</v>
      </c>
      <c r="P215" s="412" t="str">
        <f t="shared" si="20"/>
        <v>Forschung</v>
      </c>
      <c r="Q215" s="415">
        <f>Kriterien!U218</f>
        <v>0</v>
      </c>
      <c r="R215" s="416">
        <f>Kriterien!V218</f>
        <v>0</v>
      </c>
      <c r="S215" s="412" t="str">
        <f t="shared" si="17"/>
        <v/>
      </c>
      <c r="U215"/>
      <c r="V215" s="2041"/>
    </row>
    <row r="216" spans="1:22" s="21" customFormat="1" ht="42">
      <c r="A216" s="526"/>
      <c r="B216" s="300"/>
      <c r="C216" s="50" t="s">
        <v>292</v>
      </c>
      <c r="D216" s="5" t="str">
        <f t="shared" si="18"/>
        <v>Die IS beteiligen sich angemessen an Forschungsvorhaben. Insbesondere nehmen sie auch im Rahmen ihrer Möglichkeiten an Forschungsprojekten teil, welche durch die SGI unterstützt werden.</v>
      </c>
      <c r="E216" s="10" t="str">
        <f t="shared" si="19"/>
        <v>Visitation</v>
      </c>
      <c r="F216" s="162"/>
      <c r="J216" s="2041"/>
      <c r="K216"/>
      <c r="N216" s="415" t="str">
        <f>Kriterien!R219</f>
        <v>Die IS beteiligen sich angemessen an Forschungsvorhaben. Insbesondere nehmen sie auch im Rahmen ihrer Möglichkeiten an Forschungsprojekten teil, welche durch die SGI unterstützt werden.</v>
      </c>
      <c r="O216" s="428" t="str">
        <f>Kriterien!S219</f>
        <v>Les USI participent de manière appropriée à des projets de recherche. Dans la mesure de leurs possibilités, elles sont notamment impliquées dans des projets de recherche soutenus par la SSMI.</v>
      </c>
      <c r="P216" s="412" t="str">
        <f t="shared" si="20"/>
        <v>Die IS beteiligen sich angemessen an Forschungsvorhaben. Insbesondere nehmen sie auch im Rahmen ihrer Möglichkeiten an Forschungsprojekten teil, welche durch die SGI unterstützt werden.</v>
      </c>
      <c r="Q216" s="415" t="str">
        <f>Kriterien!U219</f>
        <v>Visitation</v>
      </c>
      <c r="R216" s="416" t="str">
        <f>Kriterien!V219</f>
        <v>Visite</v>
      </c>
      <c r="S216" s="412" t="str">
        <f t="shared" ref="S216:S223" si="21">IF(Q216=0,"",IF($A$1="D",Q216,R216))</f>
        <v>Visitation</v>
      </c>
      <c r="U216"/>
      <c r="V216" s="2041"/>
    </row>
    <row r="217" spans="1:22" s="21" customFormat="1" ht="18">
      <c r="A217" s="432"/>
      <c r="B217" s="432"/>
      <c r="C217" s="39">
        <v>9</v>
      </c>
      <c r="D217" s="17" t="str">
        <f t="shared" si="18"/>
        <v>Weitere Vorgaben</v>
      </c>
      <c r="E217" s="37" t="str">
        <f t="shared" si="19"/>
        <v/>
      </c>
      <c r="F217" s="254"/>
      <c r="J217" s="2041"/>
      <c r="K217"/>
      <c r="N217" s="415" t="str">
        <f>Kriterien!R220</f>
        <v>Weitere Vorgaben</v>
      </c>
      <c r="O217" s="428" t="str">
        <f>Kriterien!S220</f>
        <v>Autres dispositions</v>
      </c>
      <c r="P217" s="412" t="str">
        <f t="shared" si="20"/>
        <v>Weitere Vorgaben</v>
      </c>
      <c r="Q217" s="415">
        <f>Kriterien!U220</f>
        <v>0</v>
      </c>
      <c r="R217" s="416">
        <f>Kriterien!V220</f>
        <v>0</v>
      </c>
      <c r="S217" s="412" t="str">
        <f t="shared" si="21"/>
        <v/>
      </c>
      <c r="U217"/>
      <c r="V217" s="2041"/>
    </row>
    <row r="218" spans="1:22" s="21" customFormat="1" ht="18">
      <c r="A218" s="526"/>
      <c r="B218" s="433"/>
      <c r="C218" s="47">
        <v>9.1</v>
      </c>
      <c r="D218" s="14" t="str">
        <f t="shared" si="18"/>
        <v>Gesetzliche Grundlagen</v>
      </c>
      <c r="E218" s="10" t="str">
        <f t="shared" si="19"/>
        <v/>
      </c>
      <c r="F218" s="162"/>
      <c r="J218" s="2041"/>
      <c r="K218"/>
      <c r="N218" s="415" t="str">
        <f>Kriterien!R221</f>
        <v>Gesetzliche Grundlagen</v>
      </c>
      <c r="O218" s="428" t="str">
        <f>Kriterien!S221</f>
        <v>Bases légales</v>
      </c>
      <c r="P218" s="412" t="str">
        <f t="shared" si="20"/>
        <v>Gesetzliche Grundlagen</v>
      </c>
      <c r="Q218" s="415">
        <f>Kriterien!U221</f>
        <v>0</v>
      </c>
      <c r="R218" s="416">
        <f>Kriterien!V221</f>
        <v>0</v>
      </c>
      <c r="S218" s="412" t="str">
        <f t="shared" si="21"/>
        <v/>
      </c>
      <c r="U218"/>
      <c r="V218" s="2041"/>
    </row>
    <row r="219" spans="1:22" s="21" customFormat="1" ht="28">
      <c r="A219" s="526"/>
      <c r="B219" s="300"/>
      <c r="C219" s="46" t="s">
        <v>293</v>
      </c>
      <c r="D219" s="13" t="str">
        <f t="shared" si="18"/>
        <v xml:space="preserve">Die Station muss Methoden der Qualitätssicherung demonstrieren können (z.B. ein Critical Incident Reporting System [CIRS]). </v>
      </c>
      <c r="E219" s="38" t="str">
        <f t="shared" si="19"/>
        <v>Visitation</v>
      </c>
      <c r="F219" s="162"/>
      <c r="J219" s="2041"/>
      <c r="K219"/>
      <c r="N219" s="415" t="str">
        <f>Kriterien!R222</f>
        <v xml:space="preserve">Die Station muss Methoden der Qualitätssicherung demonstrieren können (z.B. ein Critical Incident Reporting System [CIRS]). </v>
      </c>
      <c r="O219" s="428" t="str">
        <f>Kriterien!S222</f>
        <v xml:space="preserve">L'Unité doit pouvoir prouver l'application de méthodes d'assurance de la qualité (p.ex. un Critical Incident Reporting System [CIRS]). </v>
      </c>
      <c r="P219" s="412" t="str">
        <f t="shared" si="20"/>
        <v xml:space="preserve">Die Station muss Methoden der Qualitätssicherung demonstrieren können (z.B. ein Critical Incident Reporting System [CIRS]). </v>
      </c>
      <c r="Q219" s="415" t="str">
        <f>Kriterien!U222</f>
        <v>Visitation</v>
      </c>
      <c r="R219" s="416" t="str">
        <f>Kriterien!V222</f>
        <v>Visite</v>
      </c>
      <c r="S219" s="412" t="str">
        <f t="shared" si="21"/>
        <v>Visitation</v>
      </c>
      <c r="U219"/>
      <c r="V219" s="2041"/>
    </row>
    <row r="220" spans="1:22" s="21" customFormat="1" ht="18">
      <c r="A220" s="526"/>
      <c r="B220" s="433"/>
      <c r="C220" s="47">
        <v>9.1999999999999993</v>
      </c>
      <c r="D220" s="14" t="str">
        <f t="shared" si="18"/>
        <v>Richtlinien und Evidence Based Medicine</v>
      </c>
      <c r="E220" s="28" t="str">
        <f t="shared" si="19"/>
        <v/>
      </c>
      <c r="F220" s="162"/>
      <c r="J220" s="2041"/>
      <c r="K220"/>
      <c r="N220" s="415" t="str">
        <f>Kriterien!R223</f>
        <v>Richtlinien und Evidence Based Medicine</v>
      </c>
      <c r="O220" s="428" t="str">
        <f>Kriterien!S223</f>
        <v>Directives et médecine reposant sur les preuves</v>
      </c>
      <c r="P220" s="412" t="str">
        <f t="shared" si="20"/>
        <v>Richtlinien und Evidence Based Medicine</v>
      </c>
      <c r="Q220" s="415">
        <f>Kriterien!U223</f>
        <v>0</v>
      </c>
      <c r="R220" s="416">
        <f>Kriterien!V223</f>
        <v>0</v>
      </c>
      <c r="S220" s="412" t="str">
        <f t="shared" si="21"/>
        <v/>
      </c>
      <c r="U220"/>
      <c r="V220" s="2041"/>
    </row>
    <row r="221" spans="1:22" s="21" customFormat="1" ht="42">
      <c r="A221" s="526"/>
      <c r="B221" s="300"/>
      <c r="C221" s="46" t="s">
        <v>294</v>
      </c>
      <c r="D221" s="13" t="str">
        <f t="shared" si="18"/>
        <v>Die IS beachtet die Prinzipien einer evidenzbasierten Medizin in ihren Behandlungskonzepten und anerkannte Richtlinien (z.B. der SGI oder SAMW). Es werden regelmässig Fallbesprechungen durchgeführt.</v>
      </c>
      <c r="E221" s="38" t="str">
        <f t="shared" si="19"/>
        <v>Visitation</v>
      </c>
      <c r="F221" s="162"/>
      <c r="J221" s="2041"/>
      <c r="K221"/>
      <c r="N221" s="415" t="str">
        <f>Kriterien!R224</f>
        <v>Die IS beachtet die Prinzipien einer evidenzbasierten Medizin in ihren Behandlungskonzepten und anerkannte Richtlinien (z.B. der SGI oder SAMW). Es werden regelmässig Fallbesprechungen durchgeführt.</v>
      </c>
      <c r="O221" s="428" t="str">
        <f>Kriterien!S224</f>
        <v>L'USI respecte les principes de la médecine basée sur des preuves. Ses concepts thérapeutiques correspondent aux recommendation en vigeur (p.ex. de la SSMI ou de l'ASSM).</v>
      </c>
      <c r="P221" s="412" t="str">
        <f t="shared" si="20"/>
        <v>Die IS beachtet die Prinzipien einer evidenzbasierten Medizin in ihren Behandlungskonzepten und anerkannte Richtlinien (z.B. der SGI oder SAMW). Es werden regelmässig Fallbesprechungen durchgeführt.</v>
      </c>
      <c r="Q221" s="415" t="str">
        <f>Kriterien!U224</f>
        <v>Visitation</v>
      </c>
      <c r="R221" s="416" t="str">
        <f>Kriterien!V224</f>
        <v>Visite</v>
      </c>
      <c r="S221" s="412" t="str">
        <f t="shared" si="21"/>
        <v>Visitation</v>
      </c>
      <c r="U221"/>
      <c r="V221" s="2041"/>
    </row>
    <row r="222" spans="1:22" s="21" customFormat="1" ht="18">
      <c r="A222" s="526"/>
      <c r="B222" s="433"/>
      <c r="C222" s="47">
        <v>9.3000000000000007</v>
      </c>
      <c r="D222" s="14" t="str">
        <f t="shared" si="18"/>
        <v xml:space="preserve">Ethik </v>
      </c>
      <c r="E222" s="28" t="str">
        <f t="shared" si="19"/>
        <v/>
      </c>
      <c r="F222" s="162"/>
      <c r="J222" s="2041"/>
      <c r="K222"/>
      <c r="N222" s="415" t="str">
        <f>Kriterien!R225</f>
        <v xml:space="preserve">Ethik </v>
      </c>
      <c r="O222" s="428" t="str">
        <f>Kriterien!S225</f>
        <v>Éthique</v>
      </c>
      <c r="P222" s="412" t="str">
        <f t="shared" si="20"/>
        <v xml:space="preserve">Ethik </v>
      </c>
      <c r="Q222" s="415">
        <f>Kriterien!U225</f>
        <v>0</v>
      </c>
      <c r="R222" s="416">
        <f>Kriterien!V225</f>
        <v>0</v>
      </c>
      <c r="S222" s="412" t="str">
        <f t="shared" si="21"/>
        <v/>
      </c>
      <c r="U222"/>
      <c r="V222" s="2041"/>
    </row>
    <row r="223" spans="1:22" s="21" customFormat="1" ht="18">
      <c r="A223" s="526"/>
      <c r="B223" s="300"/>
      <c r="C223" s="50" t="s">
        <v>295</v>
      </c>
      <c r="D223" s="13" t="str">
        <f t="shared" si="18"/>
        <v>Die IS verfügt über ein Konzept über ethische Entscheidungsfindung.</v>
      </c>
      <c r="E223" s="38" t="str">
        <f t="shared" si="19"/>
        <v>Visitation, Dokument</v>
      </c>
      <c r="F223" s="162"/>
      <c r="J223" s="2041"/>
      <c r="K223"/>
      <c r="N223" s="415" t="str">
        <f>Kriterien!R226</f>
        <v>Die IS verfügt über ein Konzept über ethische Entscheidungsfindung.</v>
      </c>
      <c r="O223" s="428" t="str">
        <f>Kriterien!S226</f>
        <v>L'Unité dispose d'un concept applicable aux décisions d'éthique.</v>
      </c>
      <c r="P223" s="412" t="str">
        <f t="shared" si="20"/>
        <v>Die IS verfügt über ein Konzept über ethische Entscheidungsfindung.</v>
      </c>
      <c r="Q223" s="415" t="str">
        <f>Kriterien!U226</f>
        <v>Visitation, Dokument</v>
      </c>
      <c r="R223" s="416" t="str">
        <f>Kriterien!V226</f>
        <v>Visite, document</v>
      </c>
      <c r="S223" s="412" t="str">
        <f t="shared" si="21"/>
        <v>Visitation, Dokument</v>
      </c>
      <c r="U223"/>
      <c r="V223" s="2041"/>
    </row>
    <row r="224" spans="1:22" ht="15" customHeight="1">
      <c r="L224" s="21"/>
      <c r="M224" s="21"/>
      <c r="N224" s="410"/>
      <c r="O224" s="413"/>
      <c r="P224" s="412" t="str">
        <f t="shared" ref="P224:P247" si="22">IF(N224=0,"",IF($A$1="D",N224,O224))</f>
        <v/>
      </c>
      <c r="Q224" s="420" t="s">
        <v>1690</v>
      </c>
      <c r="R224" s="421" t="s">
        <v>1691</v>
      </c>
      <c r="S224" s="412" t="str">
        <f t="shared" ref="S224:S250" si="23">IF(Q224=0,"",IF($A$1="D",Q224,R224))</f>
        <v>Insgesamt 5 Seiten. Falls Probleme im Format bitte korrigieren: 
Seitenorientierung "Portrait", Skalierung "Alle Spalten auf eine Seite"</v>
      </c>
    </row>
    <row r="225" spans="1:22" ht="30" customHeight="1">
      <c r="A225" s="105"/>
      <c r="B225" s="66"/>
      <c r="C225" s="85" t="s">
        <v>2116</v>
      </c>
      <c r="D225" s="14" t="str">
        <f>P225</f>
        <v>Regelung bezüglich Geltung der Versionen und Übergangsfristen</v>
      </c>
      <c r="E225" s="28"/>
      <c r="F225" s="18"/>
      <c r="L225" s="21"/>
      <c r="M225" s="21"/>
      <c r="N225" s="221" t="s">
        <v>2111</v>
      </c>
      <c r="O225" s="323" t="s">
        <v>2122</v>
      </c>
      <c r="P225" s="412" t="str">
        <f t="shared" ref="P225:P228" si="24">IF(N225=0,"",IF($A$1="D",N225,O225))</f>
        <v>Regelung bezüglich Geltung der Versionen und Übergangsfristen</v>
      </c>
      <c r="Q225" s="18"/>
      <c r="R225" s="18"/>
      <c r="S225" s="18"/>
    </row>
    <row r="226" spans="1:22" ht="50" customHeight="1">
      <c r="A226" s="107"/>
      <c r="B226" s="1973" t="s">
        <v>1725</v>
      </c>
      <c r="C226" s="114" t="s">
        <v>2117</v>
      </c>
      <c r="D226" s="64" t="str">
        <f>P226</f>
        <v>Massgebend im Zertifizierungsprozess bis zu dessen Abschluss ist immer die Version der Qualitätskriterien, welche zum Zeitpunkt der Bestätigung über die vollständige Eingabe der Zertifizierungsunterlagen gemäss Richtlinien in Kraft war.</v>
      </c>
      <c r="E226" s="38"/>
      <c r="F226" s="18"/>
      <c r="L226" s="21"/>
      <c r="M226" s="21"/>
      <c r="N226" s="221" t="s">
        <v>2112</v>
      </c>
      <c r="O226" s="323" t="s">
        <v>2123</v>
      </c>
      <c r="P226" s="412" t="str">
        <f t="shared" si="24"/>
        <v>Massgebend im Zertifizierungsprozess bis zu dessen Abschluss ist immer die Version der Qualitätskriterien, welche zum Zeitpunkt der Bestätigung über die vollständige Eingabe der Zertifizierungsunterlagen gemäss Richtlinien in Kraft war.</v>
      </c>
      <c r="Q226" s="18"/>
      <c r="R226" s="18"/>
      <c r="S226" s="18"/>
    </row>
    <row r="227" spans="1:22" ht="54" customHeight="1">
      <c r="B227" s="1973"/>
      <c r="C227" s="114" t="s">
        <v>2118</v>
      </c>
      <c r="D227" s="64" t="str">
        <f>P227</f>
        <v>Für alle inhaltlichen Veränderungen kann sich eine Station auf eine 12 monatliche Übergangsfrist vom Zeitpunkt der Inkraftsetzung durch den Vorstand bis zur Bestätigung der Eingabe des vollständigen Zertifizierungsdossiers berufen.</v>
      </c>
      <c r="E227" s="38"/>
      <c r="F227" s="18"/>
      <c r="L227" s="21"/>
      <c r="M227" s="21"/>
      <c r="N227" s="221" t="s">
        <v>2113</v>
      </c>
      <c r="O227" s="323" t="s">
        <v>2124</v>
      </c>
      <c r="P227" s="412" t="str">
        <f t="shared" si="24"/>
        <v>Für alle inhaltlichen Veränderungen kann sich eine Station auf eine 12 monatliche Übergangsfrist vom Zeitpunkt der Inkraftsetzung durch den Vorstand bis zur Bestätigung der Eingabe des vollständigen Zertifizierungsdossiers berufen.</v>
      </c>
      <c r="Q227" s="18"/>
      <c r="R227" s="18"/>
      <c r="S227" s="18"/>
    </row>
    <row r="228" spans="1:22" ht="64.5" customHeight="1">
      <c r="B228" s="1973"/>
      <c r="C228" s="114" t="s">
        <v>2114</v>
      </c>
      <c r="D228" s="64" t="str">
        <f>P228</f>
        <v>Der Vorstand kann längere Übergangsfristen festlegen. Diese werden den jeweiligen Änderungen speziell zugeordnet und sind direkt beim Kriterium mit der Laufzeit erwähnt.</v>
      </c>
      <c r="E228" s="38"/>
      <c r="F228" s="18"/>
      <c r="L228" s="21"/>
      <c r="M228" s="21"/>
      <c r="N228" s="221" t="s">
        <v>2115</v>
      </c>
      <c r="O228" s="323" t="s">
        <v>2125</v>
      </c>
      <c r="P228" s="412" t="str">
        <f t="shared" si="24"/>
        <v>Der Vorstand kann längere Übergangsfristen festlegen. Diese werden den jeweiligen Änderungen speziell zugeordnet und sind direkt beim Kriterium mit der Laufzeit erwähnt.</v>
      </c>
      <c r="Q228" s="18"/>
      <c r="R228" s="18"/>
      <c r="S228" s="18"/>
    </row>
    <row r="229" spans="1:22" ht="15" customHeight="1">
      <c r="L229" s="21"/>
      <c r="M229" s="21"/>
      <c r="N229" s="410"/>
      <c r="O229" s="413"/>
      <c r="P229" s="412" t="str">
        <f t="shared" si="22"/>
        <v/>
      </c>
      <c r="Q229" s="420"/>
      <c r="R229" s="421"/>
      <c r="S229" s="412" t="str">
        <f t="shared" si="23"/>
        <v/>
      </c>
    </row>
    <row r="230" spans="1:22" ht="21" customHeight="1">
      <c r="A230" s="25" t="str">
        <f>P230</f>
        <v>Zusammenfassung aller deklarierten Kriterien</v>
      </c>
      <c r="L230" s="21"/>
      <c r="M230" s="21"/>
      <c r="N230" s="410" t="str">
        <f>'4b Visitation'!AA327</f>
        <v>Zusammenfassung aller deklarierten Kriterien</v>
      </c>
      <c r="O230" s="413" t="str">
        <f>'4b Visitation'!AB327</f>
        <v>Résumé de tous les critères déclarés</v>
      </c>
      <c r="P230" s="412" t="str">
        <f t="shared" si="22"/>
        <v>Zusammenfassung aller deklarierten Kriterien</v>
      </c>
      <c r="Q230" s="420"/>
      <c r="R230" s="421"/>
      <c r="S230" s="412" t="str">
        <f t="shared" si="23"/>
        <v/>
      </c>
    </row>
    <row r="231" spans="1:22" ht="15" customHeight="1">
      <c r="L231" s="21"/>
      <c r="M231" s="21"/>
      <c r="N231" s="410"/>
      <c r="O231" s="413"/>
      <c r="P231" s="412" t="str">
        <f t="shared" si="22"/>
        <v/>
      </c>
      <c r="Q231" s="420"/>
      <c r="R231" s="421"/>
      <c r="S231" s="412" t="str">
        <f t="shared" si="23"/>
        <v/>
      </c>
    </row>
    <row r="232" spans="1:22" ht="15" customHeight="1">
      <c r="A232" s="135" t="str">
        <f>P232</f>
        <v>Summe:</v>
      </c>
      <c r="N232" s="410" t="str">
        <f>'4b Visitation'!AA329</f>
        <v>Summe:</v>
      </c>
      <c r="O232" s="413" t="str">
        <f>'4b Visitation'!AB329</f>
        <v>Somme:</v>
      </c>
      <c r="P232" s="412" t="str">
        <f t="shared" si="22"/>
        <v>Summe:</v>
      </c>
      <c r="Q232" s="420"/>
      <c r="R232" s="421"/>
      <c r="S232" s="412" t="str">
        <f t="shared" si="23"/>
        <v/>
      </c>
    </row>
    <row r="233" spans="1:22" ht="15" customHeight="1">
      <c r="A233" s="147">
        <f>SUM(A20:A223)</f>
        <v>0</v>
      </c>
      <c r="B233" s="148">
        <f>SUM(B20:B223)</f>
        <v>0</v>
      </c>
      <c r="D233" s="135" t="str">
        <f>P233</f>
        <v>Summe der total erreichten Punkte</v>
      </c>
      <c r="N233" s="410" t="str">
        <f>'4b Visitation'!AA330</f>
        <v>Summe der total erreichten Punkte</v>
      </c>
      <c r="O233" s="413" t="str">
        <f>'4b Visitation'!AB330</f>
        <v>Somme de tous les points obtenus</v>
      </c>
      <c r="P233" s="412" t="str">
        <f t="shared" si="22"/>
        <v>Summe der total erreichten Punkte</v>
      </c>
      <c r="S233" s="412" t="str">
        <f t="shared" si="23"/>
        <v/>
      </c>
    </row>
    <row r="234" spans="1:22" ht="15" customHeight="1">
      <c r="A234" s="135" t="str">
        <f>P234</f>
        <v>% erreicht:</v>
      </c>
      <c r="N234" s="410" t="str">
        <f>'4b Visitation'!AA331</f>
        <v>% erreicht:</v>
      </c>
      <c r="O234" s="413" t="str">
        <f>'4b Visitation'!AB331</f>
        <v>% obtenu:</v>
      </c>
      <c r="P234" s="412" t="str">
        <f t="shared" si="22"/>
        <v>% erreicht:</v>
      </c>
      <c r="S234" s="412" t="str">
        <f t="shared" si="23"/>
        <v/>
      </c>
    </row>
    <row r="235" spans="1:22" ht="15" customHeight="1">
      <c r="A235" s="149">
        <f>A233/A245</f>
        <v>0</v>
      </c>
      <c r="B235" s="150">
        <f>B233/B245</f>
        <v>0</v>
      </c>
      <c r="D235" s="135" t="str">
        <f>P235</f>
        <v>Erreicht in % der max. Punktzahl</v>
      </c>
      <c r="E235" s="151"/>
      <c r="F235" s="151"/>
      <c r="N235" s="410" t="str">
        <f>'4b Visitation'!AA332</f>
        <v>Erreicht in % der max. Punktzahl</v>
      </c>
      <c r="O235" s="413" t="str">
        <f>'4b Visitation'!AB332</f>
        <v>% du nombre maximal obtenu</v>
      </c>
      <c r="P235" s="412" t="str">
        <f t="shared" si="22"/>
        <v>Erreicht in % der max. Punktzahl</v>
      </c>
      <c r="S235" s="412" t="str">
        <f t="shared" si="23"/>
        <v/>
      </c>
    </row>
    <row r="236" spans="1:22" ht="15" customHeight="1">
      <c r="A236" s="135" t="str">
        <f>P236</f>
        <v>Nicht erreichte Punkte</v>
      </c>
      <c r="N236" s="410" t="str">
        <f>'4b Visitation'!AA333</f>
        <v>Nicht erreichte Punkte</v>
      </c>
      <c r="O236" s="413" t="str">
        <f>'4b Visitation'!AB333</f>
        <v>Points non-obtenus</v>
      </c>
      <c r="P236" s="412" t="str">
        <f t="shared" si="22"/>
        <v>Nicht erreichte Punkte</v>
      </c>
      <c r="S236" s="412" t="str">
        <f t="shared" si="23"/>
        <v/>
      </c>
    </row>
    <row r="237" spans="1:22" ht="15" customHeight="1">
      <c r="A237" s="136">
        <f>COUNTIF(A20:A223,0)</f>
        <v>0</v>
      </c>
      <c r="B237" s="137">
        <f>COUNTIF(B20:B223,0)*2+COUNTIF(B20:B223,1)</f>
        <v>0</v>
      </c>
      <c r="D237" s="135" t="str">
        <f>P237</f>
        <v>Summe der nicht erreichten Punkte</v>
      </c>
      <c r="N237" s="410" t="str">
        <f>'4b Visitation'!AA334</f>
        <v>Summe der nicht erreichten Punkte</v>
      </c>
      <c r="O237" s="413" t="str">
        <f>'4b Visitation'!AB334</f>
        <v>Sommes des points non-obtenus</v>
      </c>
      <c r="P237" s="412" t="str">
        <f t="shared" si="22"/>
        <v>Summe der nicht erreichten Punkte</v>
      </c>
      <c r="S237" s="412" t="str">
        <f t="shared" si="23"/>
        <v/>
      </c>
    </row>
    <row r="238" spans="1:22" ht="19.5" customHeight="1">
      <c r="A238" s="241"/>
      <c r="B238" s="241"/>
      <c r="N238" s="410"/>
      <c r="O238" s="413"/>
      <c r="P238" s="412" t="str">
        <f t="shared" si="22"/>
        <v/>
      </c>
      <c r="S238" s="412" t="str">
        <f t="shared" si="23"/>
        <v/>
      </c>
    </row>
    <row r="239" spans="1:22" ht="19.5" customHeight="1">
      <c r="A239" s="247" t="str">
        <f>P239</f>
        <v>Datenkontrolle:</v>
      </c>
      <c r="B239" s="242"/>
      <c r="C239" s="243"/>
      <c r="D239" s="244"/>
      <c r="N239" s="410" t="str">
        <f>'4b Visitation'!AA336</f>
        <v>Datenkontrolle:</v>
      </c>
      <c r="O239" s="413" t="str">
        <f>'4b Visitation'!AB336</f>
        <v>Contrôle des données</v>
      </c>
      <c r="P239" s="412" t="str">
        <f t="shared" si="22"/>
        <v>Datenkontrolle:</v>
      </c>
      <c r="S239" s="412" t="str">
        <f t="shared" si="23"/>
        <v/>
      </c>
    </row>
    <row r="240" spans="1:22" s="141" customFormat="1" ht="15" customHeight="1">
      <c r="A240" s="375" t="str">
        <f>IF(A242=0,"ok","incomplete")</f>
        <v>incomplete</v>
      </c>
      <c r="B240" s="292" t="str">
        <f>IF(B242=0,"ok","incomplete")</f>
        <v>incomplete</v>
      </c>
      <c r="C240" s="142"/>
      <c r="D240" s="246" t="str">
        <f>P240</f>
        <v>ok = Alles ausgefüllt</v>
      </c>
      <c r="E240" s="143"/>
      <c r="F240" s="145"/>
      <c r="J240" s="2041"/>
      <c r="K240"/>
      <c r="N240" s="410" t="str">
        <f>'4b Visitation'!AA337</f>
        <v>ok = Alles ausgefüllt</v>
      </c>
      <c r="O240" s="413" t="str">
        <f>'4b Visitation'!AB337</f>
        <v>ok = tout rempli</v>
      </c>
      <c r="P240" s="412" t="str">
        <f t="shared" si="22"/>
        <v>ok = Alles ausgefüllt</v>
      </c>
      <c r="Q240" s="221"/>
      <c r="R240" s="323"/>
      <c r="S240" s="412" t="str">
        <f t="shared" si="23"/>
        <v/>
      </c>
      <c r="U240"/>
      <c r="V240" s="2041"/>
    </row>
    <row r="241" spans="1:22" ht="15" customHeight="1">
      <c r="A241" s="248">
        <f>COUNTA(A20:A223)</f>
        <v>0</v>
      </c>
      <c r="B241" s="198">
        <f>COUNTA(B20:B223)</f>
        <v>0</v>
      </c>
      <c r="D241" s="246" t="str">
        <f>P241</f>
        <v>Anzahl ausgefüllte Felder</v>
      </c>
      <c r="N241" s="410" t="str">
        <f>'4b Visitation'!AA338</f>
        <v>Anzahl ausgefüllte Felder</v>
      </c>
      <c r="O241" s="413" t="str">
        <f>'4b Visitation'!AB338</f>
        <v>Nombre de champs remplis</v>
      </c>
      <c r="P241" s="412" t="str">
        <f t="shared" si="22"/>
        <v>Anzahl ausgefüllte Felder</v>
      </c>
      <c r="S241" s="412" t="str">
        <f t="shared" si="23"/>
        <v/>
      </c>
    </row>
    <row r="242" spans="1:22" ht="15" customHeight="1">
      <c r="A242" s="264">
        <f>Kriterien!A249-A241</f>
        <v>108</v>
      </c>
      <c r="B242" s="265">
        <f>Kriterien!B249-B241</f>
        <v>35</v>
      </c>
      <c r="C242" s="253"/>
      <c r="D242" s="245" t="str">
        <f>P242</f>
        <v>Anzahl noch auszufüllende Felder</v>
      </c>
      <c r="N242" s="410" t="str">
        <f>'4b Visitation'!AA339</f>
        <v>Anzahl noch auszufüllende Felder</v>
      </c>
      <c r="O242" s="413" t="str">
        <f>'4b Visitation'!AB339</f>
        <v>Nombre de champs encore à remplir</v>
      </c>
      <c r="P242" s="412" t="str">
        <f t="shared" si="22"/>
        <v>Anzahl noch auszufüllende Felder</v>
      </c>
      <c r="S242" s="412" t="str">
        <f t="shared" si="23"/>
        <v/>
      </c>
    </row>
    <row r="243" spans="1:22" ht="15" customHeight="1">
      <c r="A243" s="198"/>
      <c r="B243" s="198"/>
      <c r="D243" s="241"/>
      <c r="N243" s="410"/>
      <c r="O243" s="413"/>
      <c r="P243" s="412" t="str">
        <f t="shared" si="22"/>
        <v/>
      </c>
      <c r="S243" s="412" t="str">
        <f t="shared" si="23"/>
        <v/>
      </c>
    </row>
    <row r="244" spans="1:22" ht="15" customHeight="1">
      <c r="A244" s="247" t="str">
        <f>P244</f>
        <v>Maximalpunktzahl gemäss Kriterien</v>
      </c>
      <c r="B244" s="266"/>
      <c r="C244" s="243"/>
      <c r="D244" s="244"/>
      <c r="N244" s="410" t="str">
        <f>'4b Visitation'!AA341</f>
        <v>Maximalpunktzahl gemäss Kriterien</v>
      </c>
      <c r="O244" s="413" t="str">
        <f>'4b Visitation'!AB341</f>
        <v>Nombre maximal selon critères</v>
      </c>
      <c r="P244" s="412" t="str">
        <f t="shared" si="22"/>
        <v>Maximalpunktzahl gemäss Kriterien</v>
      </c>
      <c r="S244" s="412" t="str">
        <f t="shared" si="23"/>
        <v/>
      </c>
    </row>
    <row r="245" spans="1:22" ht="15" customHeight="1">
      <c r="A245" s="250">
        <f>Kriterien!$A$243</f>
        <v>108</v>
      </c>
      <c r="B245" s="113">
        <f>Kriterien!$B$243</f>
        <v>70</v>
      </c>
      <c r="D245" s="246" t="str">
        <f>P245</f>
        <v>Maximale mögliche Punktzahl</v>
      </c>
      <c r="N245" s="410" t="str">
        <f>'4b Visitation'!AA342</f>
        <v>Maximale mögliche Punktzahl</v>
      </c>
      <c r="O245" s="413" t="str">
        <f>'4b Visitation'!AB342</f>
        <v>Nombre théorique maximal</v>
      </c>
      <c r="P245" s="412" t="str">
        <f t="shared" si="22"/>
        <v>Maximale mögliche Punktzahl</v>
      </c>
      <c r="S245" s="412" t="str">
        <f t="shared" si="23"/>
        <v/>
      </c>
    </row>
    <row r="246" spans="1:22" ht="15" customHeight="1">
      <c r="A246" s="249" t="str">
        <f>P246</f>
        <v>Mindestanforderung gemäss Kriterien</v>
      </c>
      <c r="D246" s="246"/>
      <c r="N246" s="410" t="str">
        <f>'4b Visitation'!AA343</f>
        <v>Mindestanforderung gemäss Kriterien</v>
      </c>
      <c r="O246" s="413" t="str">
        <f>'4b Visitation'!AB343</f>
        <v>Exigence minimale selon critères</v>
      </c>
      <c r="P246" s="412" t="str">
        <f t="shared" si="22"/>
        <v>Mindestanforderung gemäss Kriterien</v>
      </c>
      <c r="S246" s="412" t="str">
        <f t="shared" si="23"/>
        <v/>
      </c>
    </row>
    <row r="247" spans="1:22" ht="15" customHeight="1">
      <c r="A247" s="251">
        <f>Kriterien!$A$245</f>
        <v>1</v>
      </c>
      <c r="B247" s="252">
        <f>Kriterien!$B$245</f>
        <v>0.8</v>
      </c>
      <c r="C247" s="253"/>
      <c r="D247" s="245" t="str">
        <f>P247</f>
        <v>Gefordete % für Zertifizierung ohne Auflagen</v>
      </c>
      <c r="N247" s="410" t="str">
        <f>'4b Visitation'!AA344</f>
        <v>Gefordete % für Zertifizierung ohne Auflagen</v>
      </c>
      <c r="O247" s="413" t="str">
        <f>'4b Visitation'!AB344</f>
        <v>% exigés pour certification sans conditions</v>
      </c>
      <c r="P247" s="412" t="str">
        <f t="shared" si="22"/>
        <v>Gefordete % für Zertifizierung ohne Auflagen</v>
      </c>
      <c r="S247" s="412" t="str">
        <f t="shared" si="23"/>
        <v/>
      </c>
    </row>
    <row r="248" spans="1:22" ht="76.5" customHeight="1">
      <c r="P248" s="412" t="str">
        <f t="shared" ref="P248" si="25">IF(N248=0,"",IF($A$1="D",N248,O248))</f>
        <v/>
      </c>
      <c r="S248" s="412" t="str">
        <f t="shared" si="23"/>
        <v/>
      </c>
    </row>
    <row r="249" spans="1:22" s="397" customFormat="1" ht="20.25" customHeight="1">
      <c r="A249" s="2396" t="str">
        <f>P250</f>
        <v>Die ärztliche und pflegerische Leitung der Intensivstation bestätigen mit ihrer Unterschrift die Richtigkeit der Daten:</v>
      </c>
      <c r="B249" s="2397"/>
      <c r="C249" s="2397"/>
      <c r="D249" s="2397"/>
      <c r="E249" s="516"/>
      <c r="F249" s="517"/>
      <c r="J249" s="2041"/>
      <c r="K249"/>
      <c r="N249" s="422"/>
      <c r="O249" s="423"/>
      <c r="P249" s="424" t="str">
        <f t="shared" ref="P249" si="26">IF(N249=0,"",IF($A$1="D",N249,O249))</f>
        <v/>
      </c>
      <c r="Q249" s="422"/>
      <c r="R249" s="423"/>
      <c r="S249" s="424" t="str">
        <f t="shared" si="23"/>
        <v/>
      </c>
      <c r="U249"/>
      <c r="V249" s="2041"/>
    </row>
    <row r="250" spans="1:22" s="21" customFormat="1" ht="88.5" customHeight="1">
      <c r="A250" s="2227" t="str">
        <f>C257&amp;", "&amp;DAY(A4)&amp;"."&amp;MONTH(A4)&amp;"."&amp;YEAR(A4)</f>
        <v>0, 0.1.1900</v>
      </c>
      <c r="B250" s="2228"/>
      <c r="C250" s="2228"/>
      <c r="D250" s="2228"/>
      <c r="E250" s="518">
        <f>C261</f>
        <v>0</v>
      </c>
      <c r="F250" s="519">
        <f>C260</f>
        <v>0</v>
      </c>
      <c r="J250" s="2041"/>
      <c r="K250"/>
      <c r="N250" s="221" t="s">
        <v>721</v>
      </c>
      <c r="O250" s="323" t="s">
        <v>722</v>
      </c>
      <c r="P250" s="412" t="str">
        <f>IF(N250=0,"",IF($A$1="D",N250,O250))</f>
        <v>Die ärztliche und pflegerische Leitung der Intensivstation bestätigen mit ihrer Unterschrift die Richtigkeit der Daten:</v>
      </c>
      <c r="Q250" s="221"/>
      <c r="R250" s="323"/>
      <c r="S250" s="412" t="str">
        <f t="shared" si="23"/>
        <v/>
      </c>
      <c r="U250"/>
      <c r="V250" s="2041"/>
    </row>
    <row r="251" spans="1:22" s="398" customFormat="1" ht="14.25" customHeight="1">
      <c r="A251" s="520"/>
      <c r="B251" s="521"/>
      <c r="C251" s="521"/>
      <c r="D251" s="521"/>
      <c r="E251" s="522" t="str">
        <f>A261</f>
        <v>Leitung Pflege (Führungsverantwortung / Management)</v>
      </c>
      <c r="F251" s="523" t="str">
        <f>A260</f>
        <v>Ärztliche Leitung</v>
      </c>
      <c r="J251" s="2041"/>
      <c r="K251"/>
      <c r="N251" s="425"/>
      <c r="O251" s="426"/>
      <c r="P251" s="427"/>
      <c r="Q251" s="425"/>
      <c r="R251" s="426"/>
      <c r="S251" s="427"/>
      <c r="U251"/>
      <c r="V251" s="2041"/>
    </row>
    <row r="252" spans="1:22" ht="15" customHeight="1">
      <c r="A252" s="159"/>
    </row>
    <row r="253" spans="1:22" ht="15" customHeight="1"/>
    <row r="254" spans="1:22" s="141" customFormat="1" ht="15" customHeight="1">
      <c r="C254" s="142"/>
      <c r="E254" s="143"/>
      <c r="F254" s="145"/>
      <c r="J254" s="2041"/>
      <c r="K254"/>
      <c r="N254" s="221"/>
      <c r="O254" s="323"/>
      <c r="P254" s="412"/>
      <c r="Q254" s="221"/>
      <c r="R254" s="323"/>
      <c r="S254" s="412"/>
      <c r="U254"/>
      <c r="V254" s="2041"/>
    </row>
    <row r="255" spans="1:22" s="20" customFormat="1" ht="15" customHeight="1">
      <c r="A255" s="2392" t="str">
        <f>S255</f>
        <v>Datum Antrag Zertifizierung</v>
      </c>
      <c r="B255" s="2319"/>
      <c r="C255" s="2393">
        <f>'1 ANTRAG-DEMANDE'!B10</f>
        <v>0</v>
      </c>
      <c r="D255" s="2393"/>
      <c r="E255" s="153"/>
      <c r="J255" s="2041"/>
      <c r="K255"/>
      <c r="N255" s="221"/>
      <c r="O255" s="323"/>
      <c r="P255" s="412" t="str">
        <f>IF(N255=0,"",IF($A$1="D",N255,O255))</f>
        <v/>
      </c>
      <c r="Q255" s="410" t="str">
        <f>'1 ANTRAG-DEMANDE'!AD10</f>
        <v>Datum Antrag Zertifizierung</v>
      </c>
      <c r="R255" s="410" t="str">
        <f>'1 ANTRAG-DEMANDE'!AE10</f>
        <v>Date Demande Certification</v>
      </c>
      <c r="S255" s="412" t="str">
        <f t="shared" ref="S255:S256" si="27">IF(Q255=0,"",IF($A$1="D",Q255,R255))</f>
        <v>Datum Antrag Zertifizierung</v>
      </c>
      <c r="U255"/>
      <c r="V255" s="2041"/>
    </row>
    <row r="256" spans="1:22" s="20" customFormat="1" ht="15" customHeight="1">
      <c r="A256" s="2392" t="str">
        <f t="shared" ref="A256:A261" si="28">S256</f>
        <v>Kanton</v>
      </c>
      <c r="B256" s="2319"/>
      <c r="C256" s="2402">
        <f>'1 ANTRAG-DEMANDE'!B11</f>
        <v>0</v>
      </c>
      <c r="D256" s="2402"/>
      <c r="E256" s="153"/>
      <c r="J256" s="2041"/>
      <c r="K256"/>
      <c r="N256" s="221"/>
      <c r="O256" s="323"/>
      <c r="P256" s="412" t="str">
        <f t="shared" ref="P256" si="29">IF(N256=0,"",IF($A$1="D",N256,O256))</f>
        <v/>
      </c>
      <c r="Q256" s="410" t="str">
        <f>'1 ANTRAG-DEMANDE'!AD11</f>
        <v>Kanton</v>
      </c>
      <c r="R256" s="410" t="str">
        <f>'1 ANTRAG-DEMANDE'!AE11</f>
        <v>Canton</v>
      </c>
      <c r="S256" s="412" t="str">
        <f t="shared" si="27"/>
        <v>Kanton</v>
      </c>
      <c r="U256"/>
      <c r="V256" s="2041"/>
    </row>
    <row r="257" spans="1:22" s="20" customFormat="1" ht="15" customHeight="1">
      <c r="A257" s="2392" t="str">
        <f t="shared" si="28"/>
        <v>Stadt</v>
      </c>
      <c r="B257" s="2319"/>
      <c r="C257" s="2402">
        <f>'1 ANTRAG-DEMANDE'!B12</f>
        <v>0</v>
      </c>
      <c r="D257" s="2402"/>
      <c r="E257" s="153"/>
      <c r="J257" s="2041"/>
      <c r="K257"/>
      <c r="N257" s="221"/>
      <c r="O257" s="323"/>
      <c r="P257" s="412" t="str">
        <f>IF(N257=0,"",IF($A$1="D",N257,O257))</f>
        <v/>
      </c>
      <c r="Q257" s="410" t="str">
        <f>'1 ANTRAG-DEMANDE'!AD12</f>
        <v>Stadt</v>
      </c>
      <c r="R257" s="410" t="str">
        <f>'1 ANTRAG-DEMANDE'!AE12</f>
        <v>Ville</v>
      </c>
      <c r="S257" s="412" t="str">
        <f>IF(Q257=0,"",IF($A$1="D",Q257,R257))</f>
        <v>Stadt</v>
      </c>
      <c r="U257"/>
      <c r="V257" s="2041"/>
    </row>
    <row r="258" spans="1:22" s="20" customFormat="1" ht="15" customHeight="1">
      <c r="A258" s="2392" t="str">
        <f t="shared" si="28"/>
        <v>Spital</v>
      </c>
      <c r="B258" s="2319"/>
      <c r="C258" s="2402">
        <f>'1 ANTRAG-DEMANDE'!B13</f>
        <v>0</v>
      </c>
      <c r="D258" s="2402"/>
      <c r="E258" s="153"/>
      <c r="J258" s="2041"/>
      <c r="K258"/>
      <c r="N258" s="221"/>
      <c r="O258" s="323"/>
      <c r="P258" s="412" t="str">
        <f>IF(N258=0,"",IF($A$1="D",N258,O258))</f>
        <v/>
      </c>
      <c r="Q258" s="410" t="str">
        <f>'1 ANTRAG-DEMANDE'!AD13</f>
        <v>Spital</v>
      </c>
      <c r="R258" s="410" t="str">
        <f>'1 ANTRAG-DEMANDE'!AE13</f>
        <v>Hôpital</v>
      </c>
      <c r="S258" s="412" t="str">
        <f>IF(Q258=0,"",IF($A$1="D",Q258,R258))</f>
        <v>Spital</v>
      </c>
      <c r="U258"/>
      <c r="V258" s="2041"/>
    </row>
    <row r="259" spans="1:22" s="20" customFormat="1" ht="15" customHeight="1">
      <c r="A259" s="2392" t="str">
        <f t="shared" si="28"/>
        <v>Station</v>
      </c>
      <c r="B259" s="2319"/>
      <c r="C259" s="2402">
        <f>'1 ANTRAG-DEMANDE'!B15</f>
        <v>0</v>
      </c>
      <c r="D259" s="2402"/>
      <c r="E259" s="153"/>
      <c r="J259" s="2041"/>
      <c r="K259"/>
      <c r="N259" s="221"/>
      <c r="O259" s="323"/>
      <c r="P259" s="412" t="str">
        <f>IF(N259=0,"",IF($A$1="D",N259,O259))</f>
        <v/>
      </c>
      <c r="Q259" s="410" t="str">
        <f>'1 ANTRAG-DEMANDE'!AD15</f>
        <v>Station</v>
      </c>
      <c r="R259" s="410" t="str">
        <f>'1 ANTRAG-DEMANDE'!AE15</f>
        <v>Unité</v>
      </c>
      <c r="S259" s="412" t="str">
        <f>IF(Q259=0,"",IF($A$1="D",Q259,R259))</f>
        <v>Station</v>
      </c>
      <c r="U259"/>
      <c r="V259" s="2041"/>
    </row>
    <row r="260" spans="1:22" s="20" customFormat="1" ht="15" customHeight="1">
      <c r="A260" s="2392" t="str">
        <f t="shared" si="28"/>
        <v>Ärztliche Leitung</v>
      </c>
      <c r="B260" s="2319"/>
      <c r="C260" s="2402">
        <f>'1 ANTRAG-DEMANDE'!B79</f>
        <v>0</v>
      </c>
      <c r="D260" s="2402"/>
      <c r="E260" s="153"/>
      <c r="J260" s="2041"/>
      <c r="K260"/>
      <c r="N260" s="221"/>
      <c r="O260" s="323"/>
      <c r="P260" s="412" t="str">
        <f>IF(N260=0,"",IF($A$1="D",N260,O260))</f>
        <v/>
      </c>
      <c r="Q260" s="410" t="str">
        <f>'1 ANTRAG-DEMANDE'!AD77</f>
        <v>Ärztliche Leitung</v>
      </c>
      <c r="R260" s="410" t="str">
        <f>'1 ANTRAG-DEMANDE'!AE77</f>
        <v>Responsable médical</v>
      </c>
      <c r="S260" s="412" t="str">
        <f>IF(Q260=0,"",IF($A$1="D",Q260,R260))</f>
        <v>Ärztliche Leitung</v>
      </c>
      <c r="U260"/>
      <c r="V260" s="2041"/>
    </row>
    <row r="261" spans="1:22" s="20" customFormat="1" ht="46" customHeight="1">
      <c r="A261" s="2392" t="str">
        <f t="shared" si="28"/>
        <v>Leitung Pflege (Führungsverantwortung / Management)</v>
      </c>
      <c r="B261" s="2319"/>
      <c r="C261" s="2402">
        <f>'1 ANTRAG-DEMANDE'!B109</f>
        <v>0</v>
      </c>
      <c r="D261" s="2402"/>
      <c r="E261" s="153"/>
      <c r="J261" s="2041"/>
      <c r="K261"/>
      <c r="N261" s="221"/>
      <c r="O261" s="323"/>
      <c r="P261" s="412" t="str">
        <f>IF(N261=0,"",IF($A$1="D",N261,O261))</f>
        <v/>
      </c>
      <c r="Q261" s="410" t="str">
        <f>'1 ANTRAG-DEMANDE'!AD108</f>
        <v>Leitung Pflege (Führungsverantwortung / Management)</v>
      </c>
      <c r="R261" s="410" t="str">
        <f>'1 ANTRAG-DEMANDE'!AE108</f>
        <v>Responsable infirmier Soins (cadre)</v>
      </c>
      <c r="S261" s="412" t="str">
        <f>IF(Q261=0,"",IF($A$1="D",Q261,R261))</f>
        <v>Leitung Pflege (Führungsverantwortung / Management)</v>
      </c>
      <c r="U261"/>
      <c r="V261" s="2041"/>
    </row>
    <row r="262" spans="1:22" s="141" customFormat="1" ht="15" customHeight="1">
      <c r="A262" s="144"/>
      <c r="B262" s="144"/>
      <c r="C262" s="142"/>
      <c r="E262" s="143"/>
      <c r="F262" s="145"/>
      <c r="J262" s="2041"/>
      <c r="K262"/>
      <c r="N262" s="221"/>
      <c r="O262" s="323"/>
      <c r="P262" s="412"/>
      <c r="Q262" s="221"/>
      <c r="R262" s="323"/>
      <c r="S262" s="412"/>
      <c r="U262"/>
      <c r="V262" s="2041"/>
    </row>
    <row r="263" spans="1:22" ht="15" customHeight="1"/>
    <row r="264" spans="1:22" ht="15" customHeight="1"/>
    <row r="265" spans="1:22" ht="15" customHeight="1"/>
    <row r="266" spans="1:22" ht="15" customHeight="1"/>
    <row r="267" spans="1:22" ht="15" customHeight="1"/>
    <row r="268" spans="1:22" ht="15" customHeight="1"/>
    <row r="269" spans="1:22" ht="15" customHeight="1"/>
    <row r="270" spans="1:22" ht="15" customHeight="1"/>
    <row r="271" spans="1:22" ht="15" customHeight="1"/>
    <row r="272" spans="1:22" ht="15" customHeight="1">
      <c r="C272" s="18"/>
      <c r="E272" s="18"/>
      <c r="F272" s="18"/>
    </row>
    <row r="273" spans="3:6" ht="15" customHeight="1">
      <c r="C273" s="18"/>
      <c r="E273" s="18"/>
      <c r="F273" s="18"/>
    </row>
    <row r="274" spans="3:6" ht="15" customHeight="1">
      <c r="C274" s="18"/>
      <c r="E274" s="18"/>
      <c r="F274" s="18"/>
    </row>
    <row r="275" spans="3:6" ht="15" customHeight="1">
      <c r="C275" s="18"/>
      <c r="E275" s="18"/>
      <c r="F275" s="18"/>
    </row>
    <row r="276" spans="3:6" ht="15" customHeight="1">
      <c r="C276" s="18"/>
      <c r="E276" s="18"/>
      <c r="F276" s="18"/>
    </row>
    <row r="277" spans="3:6" ht="15" customHeight="1">
      <c r="C277" s="18"/>
      <c r="E277" s="18"/>
      <c r="F277" s="18"/>
    </row>
    <row r="278" spans="3:6" ht="15" customHeight="1">
      <c r="C278" s="18"/>
      <c r="E278" s="18"/>
      <c r="F278" s="18"/>
    </row>
    <row r="279" spans="3:6" ht="15" customHeight="1">
      <c r="C279" s="18"/>
      <c r="E279" s="18"/>
      <c r="F279" s="18"/>
    </row>
    <row r="280" spans="3:6" ht="15" customHeight="1">
      <c r="C280" s="18"/>
      <c r="E280" s="18"/>
      <c r="F280" s="18"/>
    </row>
    <row r="281" spans="3:6" ht="15" customHeight="1">
      <c r="C281" s="18"/>
      <c r="E281" s="18"/>
      <c r="F281" s="18"/>
    </row>
    <row r="282" spans="3:6" ht="15" customHeight="1">
      <c r="C282" s="18"/>
      <c r="E282" s="18"/>
      <c r="F282" s="18"/>
    </row>
  </sheetData>
  <sheetProtection algorithmName="SHA-512" hashValue="NXE+6W8iDGnGVp8qtoeLfP6QyuleWh108W7s8RJ5YRuPukJ4g+zJ/vCmP6jZiEFdFcXHosaZ0X9PgVpyYA7v7w==" saltValue="uGC5tPqbrVHt2I8r6Pl8pg==" spinCount="100000" sheet="1" selectLockedCells="1"/>
  <mergeCells count="27">
    <mergeCell ref="U1:U4"/>
    <mergeCell ref="K1:K4"/>
    <mergeCell ref="A260:B260"/>
    <mergeCell ref="C260:D260"/>
    <mergeCell ref="A261:B261"/>
    <mergeCell ref="C261:D261"/>
    <mergeCell ref="C258:D258"/>
    <mergeCell ref="C259:D259"/>
    <mergeCell ref="A10:B10"/>
    <mergeCell ref="C257:D257"/>
    <mergeCell ref="A258:B258"/>
    <mergeCell ref="A259:B259"/>
    <mergeCell ref="A257:B257"/>
    <mergeCell ref="A256:B256"/>
    <mergeCell ref="C256:D256"/>
    <mergeCell ref="F3:F4"/>
    <mergeCell ref="A250:D250"/>
    <mergeCell ref="D14:E14"/>
    <mergeCell ref="A2:C2"/>
    <mergeCell ref="A255:B255"/>
    <mergeCell ref="C255:D255"/>
    <mergeCell ref="D15:E15"/>
    <mergeCell ref="C8:D8"/>
    <mergeCell ref="A249:D249"/>
    <mergeCell ref="A4:B4"/>
    <mergeCell ref="E5:F5"/>
    <mergeCell ref="E16:F16"/>
  </mergeCells>
  <phoneticPr fontId="59" type="noConversion"/>
  <conditionalFormatting sqref="A1">
    <cfRule type="containsText" dxfId="12" priority="1" operator="containsText" text="F">
      <formula>NOT(ISERROR(SEARCH("F",A1)))</formula>
    </cfRule>
  </conditionalFormatting>
  <conditionalFormatting sqref="A240:B240">
    <cfRule type="cellIs" dxfId="11" priority="2" operator="notEqual">
      <formula>"ok"</formula>
    </cfRule>
  </conditionalFormatting>
  <pageMargins left="0.51181102362204722" right="0.51181102362204722" top="0.19685039370078741" bottom="0.31496062992125984" header="0.31496062992125984" footer="0.15748031496062992"/>
  <pageSetup paperSize="9" scale="48" fitToHeight="0" orientation="portrait" horizontalDpi="1200" verticalDpi="1200" r:id="rId1"/>
  <headerFooter>
    <oddFooter>&amp;R&amp;"Calibri,Normal"&amp;K000000S.  &amp;P /&amp;N</oddFooter>
  </headerFooter>
  <ignoredErrors>
    <ignoredError sqref="C79 C118 C123:C124 C128 C223 C221 C216" twoDigitTextYear="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Liste!$F$2:$F$3</xm:f>
          </x14:formula1>
          <xm:sqref>A1</xm:sqref>
        </x14:dataValidation>
        <x14:dataValidation type="list" allowBlank="1" showInputMessage="1" showErrorMessage="1" xr:uid="{00000000-0002-0000-0600-000001000000}">
          <x14:formula1>
            <xm:f>Liste!$E$2:$E$3</xm:f>
          </x14:formula1>
          <xm:sqref>A21:A223</xm:sqref>
        </x14:dataValidation>
        <x14:dataValidation type="list" allowBlank="1" showInputMessage="1" showErrorMessage="1" xr:uid="{00000000-0002-0000-0600-000002000000}">
          <x14:formula1>
            <xm:f>Liste!$E$2:$E$4</xm:f>
          </x14:formula1>
          <xm:sqref>B21:B223</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AQ341"/>
  <sheetViews>
    <sheetView zoomScaleNormal="100" zoomScalePageLayoutView="85" workbookViewId="0">
      <pane xSplit="5" ySplit="5" topLeftCell="F6" activePane="bottomRight" state="frozenSplit"/>
      <selection activeCell="AM140" sqref="AM140"/>
      <selection pane="topRight" activeCell="AM140" sqref="AM140"/>
      <selection pane="bottomLeft" activeCell="AM140" sqref="AM140"/>
      <selection pane="bottomRight" activeCell="F6" sqref="F6"/>
    </sheetView>
  </sheetViews>
  <sheetFormatPr baseColWidth="10" defaultColWidth="10.83203125" defaultRowHeight="16"/>
  <cols>
    <col min="1" max="1" width="11.6640625" style="1450" customWidth="1"/>
    <col min="2" max="2" width="44" style="163" customWidth="1"/>
    <col min="3" max="3" width="14.6640625" style="1339" customWidth="1"/>
    <col min="4" max="4" width="2.6640625" style="1352" customWidth="1"/>
    <col min="5" max="5" width="9" style="464" customWidth="1"/>
    <col min="6" max="12" width="10.6640625" style="464" customWidth="1"/>
    <col min="13" max="13" width="5.1640625" customWidth="1"/>
    <col min="14" max="14" width="38" style="1476" hidden="1" customWidth="1"/>
    <col min="15" max="25" width="11" customWidth="1"/>
    <col min="26" max="28" width="11" style="464" customWidth="1"/>
    <col min="29" max="32" width="11" customWidth="1"/>
    <col min="33" max="33" width="4.1640625" style="1051" customWidth="1"/>
    <col min="34" max="34" width="3.6640625" customWidth="1"/>
    <col min="35" max="35" width="32.83203125" style="402" hidden="1" customWidth="1"/>
    <col min="36" max="36" width="32.83203125" style="403" hidden="1" customWidth="1"/>
    <col min="37" max="37" width="32.83203125" style="512" hidden="1" customWidth="1"/>
    <col min="38" max="38" width="32.83203125" style="402" hidden="1" customWidth="1"/>
    <col min="39" max="39" width="32.83203125" style="403" hidden="1" customWidth="1"/>
    <col min="40" max="40" width="32.83203125" style="512" hidden="1" customWidth="1"/>
    <col min="41" max="41" width="10.83203125" hidden="1" customWidth="1"/>
    <col min="42" max="42" width="3.6640625" customWidth="1"/>
    <col min="43" max="43" width="4.1640625" style="1051" customWidth="1"/>
  </cols>
  <sheetData>
    <row r="1" spans="1:43" ht="51" customHeight="1" thickBot="1">
      <c r="A1" s="1039" t="s">
        <v>442</v>
      </c>
      <c r="B1" s="1638" t="s">
        <v>854</v>
      </c>
      <c r="C1" s="1639"/>
      <c r="D1" s="1640"/>
      <c r="E1" s="1641"/>
      <c r="F1" s="1338" t="str">
        <f t="shared" ref="F1:G1" si="0">$AK$5</f>
        <v>Jahr frei wählbar</v>
      </c>
      <c r="G1" s="1338" t="str">
        <f t="shared" si="0"/>
        <v>Jahr frei wählbar</v>
      </c>
      <c r="H1" s="1338" t="str">
        <f>AN5</f>
        <v>Vorletztes Jahr</v>
      </c>
      <c r="I1" s="1338" t="str">
        <f>AN2</f>
        <v>Letztes Jahr</v>
      </c>
      <c r="J1" s="1338" t="str">
        <f>AN7</f>
        <v>Stand Datum Antrag mit Aktivität letztes Jahr</v>
      </c>
      <c r="K1" s="1341" t="str">
        <f>$AK$5</f>
        <v>Jahr frei wählbar</v>
      </c>
      <c r="L1" s="1341" t="str">
        <f>$AK$5</f>
        <v>Jahr frei wählbar</v>
      </c>
      <c r="M1" s="1337"/>
      <c r="N1" s="1474" t="s">
        <v>1839</v>
      </c>
      <c r="O1" s="1337"/>
      <c r="P1" s="1337"/>
      <c r="Q1" s="1337"/>
      <c r="R1" s="1337"/>
      <c r="S1" s="1337"/>
      <c r="T1" s="1337"/>
      <c r="U1" s="1337"/>
      <c r="V1" s="1337"/>
      <c r="W1" s="1337"/>
      <c r="X1" s="1337"/>
      <c r="Y1" s="1337"/>
      <c r="Z1" s="1341" t="s">
        <v>1887</v>
      </c>
      <c r="AA1" s="1341" t="s">
        <v>1888</v>
      </c>
      <c r="AB1" s="1341" t="s">
        <v>1889</v>
      </c>
      <c r="AC1" s="1337"/>
      <c r="AD1" s="1337"/>
      <c r="AE1" s="1337"/>
      <c r="AF1" s="1337"/>
      <c r="AG1" s="1052"/>
      <c r="AH1" s="2404" t="s">
        <v>1340</v>
      </c>
      <c r="AI1" s="630" t="s">
        <v>446</v>
      </c>
      <c r="AJ1" s="631" t="s">
        <v>448</v>
      </c>
      <c r="AK1" s="632" t="s">
        <v>773</v>
      </c>
      <c r="AL1" s="630" t="s">
        <v>447</v>
      </c>
      <c r="AM1" s="631" t="s">
        <v>449</v>
      </c>
      <c r="AN1" s="632" t="s">
        <v>772</v>
      </c>
      <c r="AP1" s="2404" t="s">
        <v>1340</v>
      </c>
      <c r="AQ1" s="1052"/>
    </row>
    <row r="2" spans="1:43" ht="33" customHeight="1" thickBot="1">
      <c r="A2" s="1659" t="str">
        <f>AN21</f>
        <v>Zusammenfassung Daten</v>
      </c>
      <c r="B2" s="1660"/>
      <c r="C2" s="2412" t="str">
        <f>AN24</f>
        <v>Falls erwünscht, dunkelblaue Felder ausfüllen / ändern →</v>
      </c>
      <c r="D2" s="2412"/>
      <c r="E2" s="2413"/>
      <c r="F2" s="1599"/>
      <c r="G2" s="1600"/>
      <c r="H2" s="1601">
        <f>YEAR(J2)-2</f>
        <v>1898</v>
      </c>
      <c r="I2" s="1601">
        <f>YEAR(J2)-1</f>
        <v>1899</v>
      </c>
      <c r="J2" s="1602">
        <f>'1 ANTRAG-DEMANDE'!B10</f>
        <v>0</v>
      </c>
      <c r="K2" s="1600"/>
      <c r="L2" s="1603"/>
      <c r="M2" s="776" t="s">
        <v>1725</v>
      </c>
      <c r="O2" s="776"/>
      <c r="P2" s="776"/>
      <c r="Q2" s="776"/>
      <c r="R2" s="776"/>
      <c r="S2" s="776"/>
      <c r="T2" s="776"/>
      <c r="U2" s="776"/>
      <c r="V2" s="776"/>
      <c r="W2" s="776"/>
      <c r="X2" s="776"/>
      <c r="Y2" s="776"/>
      <c r="Z2" s="2417" t="s">
        <v>1902</v>
      </c>
      <c r="AA2" s="2417"/>
      <c r="AB2" s="2417"/>
      <c r="AC2" s="776"/>
      <c r="AD2" s="776"/>
      <c r="AE2" s="776"/>
      <c r="AF2" s="776"/>
      <c r="AG2" s="1053"/>
      <c r="AH2" s="2404"/>
      <c r="AI2" s="258" t="s">
        <v>1646</v>
      </c>
      <c r="AJ2" s="781" t="s">
        <v>1736</v>
      </c>
      <c r="AK2" s="476" t="str">
        <f t="shared" ref="AK2:AK38" si="1">IF(AI2=0,"",IF($A$1="D",AI2,AJ2))</f>
        <v>Zusammenfassung DATEN</v>
      </c>
      <c r="AL2" s="258" t="s">
        <v>1649</v>
      </c>
      <c r="AM2" s="781" t="s">
        <v>1733</v>
      </c>
      <c r="AN2" s="476" t="str">
        <f t="shared" ref="AN2:AN7" si="2">IF(AL2=0,"",IF($A$1="D",AL2,AM2))</f>
        <v>Letztes Jahr</v>
      </c>
      <c r="AP2" s="2404"/>
      <c r="AQ2" s="1053"/>
    </row>
    <row r="3" spans="1:43" ht="42" customHeight="1">
      <c r="A3" s="2411" t="str">
        <f>AN22</f>
        <v>Dieses Datenblatt gibt den Überblick der Daten der Station. Es übernimmt die Daten aus "1 ANTRAG", andere Daten können hinzugefügt werden falls erwünscht.</v>
      </c>
      <c r="B3" s="2411"/>
      <c r="C3" s="2414" t="str">
        <f>AN25</f>
        <v>Zusammenfassung &amp; Bilanz 
s. rosa Felder</v>
      </c>
      <c r="D3" s="2414"/>
      <c r="E3" s="2415"/>
      <c r="F3" s="1662"/>
      <c r="G3" s="1662"/>
      <c r="H3" s="2405" t="str">
        <f>AK3</f>
        <v>Fixe Zahlen, werden vom Antrag übernommen.</v>
      </c>
      <c r="I3" s="2405"/>
      <c r="J3" s="2405"/>
      <c r="K3" s="1662"/>
      <c r="L3" s="1662"/>
      <c r="M3" s="776"/>
      <c r="O3" s="776"/>
      <c r="P3" s="776"/>
      <c r="Q3" s="776"/>
      <c r="R3" s="776"/>
      <c r="S3" s="776"/>
      <c r="T3" s="776"/>
      <c r="U3" s="776"/>
      <c r="V3" s="776"/>
      <c r="W3" s="776"/>
      <c r="X3" s="776"/>
      <c r="Y3" s="776"/>
      <c r="Z3" s="2417"/>
      <c r="AA3" s="2417"/>
      <c r="AB3" s="2417"/>
      <c r="AC3" s="776"/>
      <c r="AD3" s="776"/>
      <c r="AE3" s="776"/>
      <c r="AF3" s="776"/>
      <c r="AG3" s="1053"/>
      <c r="AH3" s="2404"/>
      <c r="AI3" s="258" t="s">
        <v>1764</v>
      </c>
      <c r="AJ3" s="781" t="s">
        <v>1774</v>
      </c>
      <c r="AK3" s="476" t="str">
        <f t="shared" si="1"/>
        <v>Fixe Zahlen, werden vom Antrag übernommen.</v>
      </c>
      <c r="AL3" s="258" t="s">
        <v>1762</v>
      </c>
      <c r="AM3" s="781" t="s">
        <v>1776</v>
      </c>
      <c r="AN3" s="476" t="str">
        <f t="shared" si="2"/>
        <v>Zahlen änderbar</v>
      </c>
      <c r="AP3" s="2404"/>
      <c r="AQ3" s="1053"/>
    </row>
    <row r="4" spans="1:43" ht="36" customHeight="1">
      <c r="A4" s="2416" t="str">
        <f>AN23</f>
        <v>Hellblaue Felder: fixe Daten (Übernahme aus Antrag)
Dunkelblaue Felder: Daten können geändert werden (teilweise übernommen aus Antrag, letztem oder nächstem Jahr)</v>
      </c>
      <c r="B4" s="2416"/>
      <c r="C4" s="2416"/>
      <c r="D4" s="1661"/>
      <c r="E4" s="1730" t="s">
        <v>852</v>
      </c>
      <c r="F4" s="1704" t="str">
        <f>AK4</f>
        <v>Freie Wahl</v>
      </c>
      <c r="G4" s="2406" t="str">
        <f>AN4</f>
        <v>Zahlen werden übernommen, 
können geändert werden</v>
      </c>
      <c r="H4" s="2406"/>
      <c r="I4" s="1663"/>
      <c r="J4" s="1664"/>
      <c r="K4" s="1704" t="str">
        <f>AN3</f>
        <v>Zahlen änderbar</v>
      </c>
      <c r="L4" s="1704" t="str">
        <f>AK4</f>
        <v>Freie Wahl</v>
      </c>
      <c r="M4" s="776"/>
      <c r="O4" s="776"/>
      <c r="P4" s="776"/>
      <c r="Q4" s="776"/>
      <c r="R4" s="776"/>
      <c r="S4" s="776"/>
      <c r="T4" s="776"/>
      <c r="U4" s="776"/>
      <c r="V4" s="776"/>
      <c r="W4" s="776"/>
      <c r="X4" s="776"/>
      <c r="Y4" s="776"/>
      <c r="Z4" s="777"/>
      <c r="AA4" s="777"/>
      <c r="AB4" s="777"/>
      <c r="AC4" s="776"/>
      <c r="AD4" s="776"/>
      <c r="AE4" s="776"/>
      <c r="AF4" s="776"/>
      <c r="AG4" s="1053"/>
      <c r="AH4" s="2404"/>
      <c r="AI4" s="258" t="s">
        <v>1761</v>
      </c>
      <c r="AJ4" s="781" t="s">
        <v>1773</v>
      </c>
      <c r="AK4" s="476" t="str">
        <f t="shared" si="1"/>
        <v>Freie Wahl</v>
      </c>
      <c r="AL4" s="258" t="s">
        <v>1763</v>
      </c>
      <c r="AM4" s="781" t="s">
        <v>1775</v>
      </c>
      <c r="AN4" s="476" t="str">
        <f t="shared" si="2"/>
        <v>Zahlen werden übernommen, 
können geändert werden</v>
      </c>
      <c r="AP4" s="2404"/>
      <c r="AQ4" s="1053"/>
    </row>
    <row r="5" spans="1:43" ht="23.25" customHeight="1" thickBot="1">
      <c r="D5" s="1731"/>
      <c r="E5" s="1732"/>
      <c r="AH5" s="2404"/>
      <c r="AI5" s="258" t="s">
        <v>1647</v>
      </c>
      <c r="AJ5" s="781" t="s">
        <v>1735</v>
      </c>
      <c r="AK5" s="476" t="str">
        <f t="shared" si="1"/>
        <v>Jahr frei wählbar</v>
      </c>
      <c r="AL5" s="258" t="s">
        <v>1648</v>
      </c>
      <c r="AM5" s="781" t="s">
        <v>1734</v>
      </c>
      <c r="AN5" s="476" t="str">
        <f t="shared" si="2"/>
        <v>Vorletztes Jahr</v>
      </c>
      <c r="AP5" s="2404"/>
    </row>
    <row r="6" spans="1:43" s="1445" customFormat="1" ht="42" customHeight="1" thickBot="1">
      <c r="A6" s="1444"/>
      <c r="B6" s="1445" t="str">
        <f>AK6</f>
        <v>Persönliche Bemerkungen</v>
      </c>
      <c r="C6" s="1446"/>
      <c r="D6" s="1447"/>
      <c r="E6" s="1448"/>
      <c r="F6" s="1687"/>
      <c r="G6" s="1688"/>
      <c r="H6" s="1688"/>
      <c r="I6" s="1728" t="s">
        <v>1840</v>
      </c>
      <c r="J6" s="1728" t="s">
        <v>1840</v>
      </c>
      <c r="K6" s="1688"/>
      <c r="L6" s="1689"/>
      <c r="N6" s="1475"/>
      <c r="Z6" s="1808"/>
      <c r="AA6" s="1808"/>
      <c r="AB6" s="1808"/>
      <c r="AG6" s="1449"/>
      <c r="AI6" s="1345" t="s">
        <v>1821</v>
      </c>
      <c r="AJ6" s="1346" t="s">
        <v>1820</v>
      </c>
      <c r="AK6" s="1347" t="str">
        <f t="shared" si="1"/>
        <v>Persönliche Bemerkungen</v>
      </c>
      <c r="AL6" s="1345"/>
      <c r="AM6" s="1346"/>
      <c r="AN6" s="1347" t="str">
        <f t="shared" si="2"/>
        <v/>
      </c>
      <c r="AQ6" s="1449"/>
    </row>
    <row r="7" spans="1:43" ht="42" customHeight="1">
      <c r="A7" s="1623" t="str">
        <f>AK11</f>
        <v>Struktur</v>
      </c>
      <c r="B7" s="1644" t="str">
        <f>AK7</f>
        <v>Anzahl Betten</v>
      </c>
      <c r="C7" s="1340"/>
      <c r="D7" s="1350"/>
      <c r="E7" s="663"/>
      <c r="F7" s="1547"/>
      <c r="G7" s="1548">
        <f>H7</f>
        <v>0</v>
      </c>
      <c r="H7" s="1548">
        <f>'1 ANTRAG-DEMANDE'!B31</f>
        <v>0</v>
      </c>
      <c r="I7" s="1549">
        <f>'1 ANTRAG-DEMANDE'!B31</f>
        <v>0</v>
      </c>
      <c r="J7" s="1549">
        <f>'1 ANTRAG-DEMANDE'!B22</f>
        <v>0</v>
      </c>
      <c r="K7" s="1548">
        <f>J7</f>
        <v>0</v>
      </c>
      <c r="L7" s="1550"/>
      <c r="N7" s="1476" t="s">
        <v>1836</v>
      </c>
      <c r="AI7" s="258" t="s">
        <v>1650</v>
      </c>
      <c r="AJ7" s="781" t="s">
        <v>1651</v>
      </c>
      <c r="AK7" s="362" t="str">
        <f t="shared" si="1"/>
        <v>Anzahl Betten</v>
      </c>
      <c r="AL7" s="258" t="s">
        <v>1653</v>
      </c>
      <c r="AM7" s="781" t="s">
        <v>1772</v>
      </c>
      <c r="AN7" s="476" t="str">
        <f t="shared" si="2"/>
        <v>Stand Datum Antrag mit Aktivität letztes Jahr</v>
      </c>
    </row>
    <row r="8" spans="1:43" s="1343" customFormat="1" ht="42" customHeight="1" thickBot="1">
      <c r="A8" s="1624"/>
      <c r="B8" s="1645" t="str">
        <f>AK8</f>
        <v>Gesamtnutzfläche, ganze Station</v>
      </c>
      <c r="C8" s="1342"/>
      <c r="D8" s="1351"/>
      <c r="E8" s="1354"/>
      <c r="F8" s="1551"/>
      <c r="G8" s="1552">
        <f t="shared" ref="G8" si="3">H8</f>
        <v>0</v>
      </c>
      <c r="H8" s="1552">
        <f>J8</f>
        <v>0</v>
      </c>
      <c r="I8" s="1552">
        <f>J8</f>
        <v>0</v>
      </c>
      <c r="J8" s="1553">
        <f>'1 ANTRAG-DEMANDE'!B74</f>
        <v>0</v>
      </c>
      <c r="K8" s="1552">
        <f>J8</f>
        <v>0</v>
      </c>
      <c r="L8" s="1554"/>
      <c r="N8" s="1477" t="s">
        <v>1756</v>
      </c>
      <c r="Z8" s="1809"/>
      <c r="AA8" s="1809"/>
      <c r="AB8" s="1809"/>
      <c r="AG8" s="1344"/>
      <c r="AI8" s="1345" t="str">
        <f>'1 ANTRAG-DEMANDE'!AD74</f>
        <v>Gesamtnutzfläche, ganze Station</v>
      </c>
      <c r="AJ8" s="1346" t="str">
        <f>'1 ANTRAG-DEMANDE'!AE74</f>
        <v>Surface utile totale de l'ensemble de l'USI</v>
      </c>
      <c r="AK8" s="1347" t="str">
        <f t="shared" si="1"/>
        <v>Gesamtnutzfläche, ganze Station</v>
      </c>
      <c r="AL8" s="1345"/>
      <c r="AM8" s="1346"/>
      <c r="AN8" s="1347"/>
      <c r="AQ8" s="1344"/>
    </row>
    <row r="9" spans="1:43" ht="42" customHeight="1">
      <c r="A9" s="1623" t="str">
        <f>AN9</f>
        <v>Aktivität</v>
      </c>
      <c r="B9" s="1644" t="str">
        <f>AK9</f>
        <v>Eintritte pro Jahr</v>
      </c>
      <c r="C9" s="1340"/>
      <c r="D9" s="1350"/>
      <c r="E9" s="663"/>
      <c r="F9" s="1555"/>
      <c r="G9" s="1556">
        <f>H9</f>
        <v>0</v>
      </c>
      <c r="H9" s="1557">
        <f>'1 ANTRAG-DEMANDE'!C53</f>
        <v>0</v>
      </c>
      <c r="I9" s="1557">
        <f>'1 ANTRAG-DEMANDE'!B53</f>
        <v>0</v>
      </c>
      <c r="J9" s="1557">
        <f>I9</f>
        <v>0</v>
      </c>
      <c r="K9" s="1556">
        <f>J9</f>
        <v>0</v>
      </c>
      <c r="L9" s="1558"/>
      <c r="AI9" s="258" t="s">
        <v>1117</v>
      </c>
      <c r="AJ9" s="781" t="s">
        <v>1118</v>
      </c>
      <c r="AK9" s="362" t="str">
        <f t="shared" si="1"/>
        <v>Eintritte pro Jahr</v>
      </c>
      <c r="AL9" s="258" t="s">
        <v>1658</v>
      </c>
      <c r="AM9" s="781" t="s">
        <v>1686</v>
      </c>
      <c r="AN9" s="362" t="str">
        <f>IF(AL9=0,"",IF($A$1="D",AL9,AM9))</f>
        <v>Aktivität</v>
      </c>
    </row>
    <row r="10" spans="1:43" ht="42" customHeight="1">
      <c r="A10" s="1623"/>
      <c r="B10" s="1644" t="str">
        <f>AK10</f>
        <v>Schichten pro Jahr</v>
      </c>
      <c r="C10" s="1340" t="str">
        <f>AN10</f>
        <v>Kategorie 1 A</v>
      </c>
      <c r="D10" s="1350"/>
      <c r="E10" s="663"/>
      <c r="F10" s="1555"/>
      <c r="G10" s="1556">
        <f t="shared" ref="G10:G13" si="4">H10</f>
        <v>0</v>
      </c>
      <c r="H10" s="1557">
        <f>'1 ANTRAG-DEMANDE'!C55</f>
        <v>0</v>
      </c>
      <c r="I10" s="1557">
        <f>'1 ANTRAG-DEMANDE'!B55</f>
        <v>0</v>
      </c>
      <c r="J10" s="1557">
        <f>I10</f>
        <v>0</v>
      </c>
      <c r="K10" s="1556">
        <f t="shared" ref="K10:K13" si="5">J10</f>
        <v>0</v>
      </c>
      <c r="L10" s="1558"/>
      <c r="AI10" s="258" t="s">
        <v>1652</v>
      </c>
      <c r="AJ10" s="781" t="s">
        <v>1790</v>
      </c>
      <c r="AK10" s="476" t="str">
        <f>IF(AI10=0,"",IF($A$1="D",AI10,AJ10))</f>
        <v>Schichten pro Jahr</v>
      </c>
      <c r="AL10" s="417" t="str">
        <f>'1 ANTRAG-DEMANDE'!AD55</f>
        <v>Kategorie 1 A</v>
      </c>
      <c r="AM10" s="418" t="str">
        <f>'1 ANTRAG-DEMANDE'!AE55</f>
        <v>Catégorie 1 A</v>
      </c>
      <c r="AN10" s="362" t="str">
        <f t="shared" ref="AN10:AN25" si="6">IF(AL10=0,"",IF($A$1="D",AL10,AM10))</f>
        <v>Kategorie 1 A</v>
      </c>
    </row>
    <row r="11" spans="1:43" ht="42" customHeight="1">
      <c r="A11" s="1623"/>
      <c r="B11" s="1644"/>
      <c r="C11" s="1340" t="str">
        <f>AN11</f>
        <v>Kategorie 1 B</v>
      </c>
      <c r="D11" s="1350"/>
      <c r="E11" s="663"/>
      <c r="F11" s="1555"/>
      <c r="G11" s="1556">
        <f t="shared" si="4"/>
        <v>0</v>
      </c>
      <c r="H11" s="1557">
        <f>'1 ANTRAG-DEMANDE'!C56</f>
        <v>0</v>
      </c>
      <c r="I11" s="1557">
        <f>'1 ANTRAG-DEMANDE'!B56</f>
        <v>0</v>
      </c>
      <c r="J11" s="1557">
        <f t="shared" ref="J11:J13" si="7">I11</f>
        <v>0</v>
      </c>
      <c r="K11" s="1556">
        <f t="shared" si="5"/>
        <v>0</v>
      </c>
      <c r="L11" s="1558"/>
      <c r="AI11" s="258" t="s">
        <v>1657</v>
      </c>
      <c r="AJ11" s="781" t="s">
        <v>1777</v>
      </c>
      <c r="AK11" s="362" t="str">
        <f t="shared" si="1"/>
        <v>Struktur</v>
      </c>
      <c r="AL11" s="410" t="str">
        <f>'1 ANTRAG-DEMANDE'!AD56</f>
        <v>Kategorie 1 B</v>
      </c>
      <c r="AM11" s="1178" t="str">
        <f>'1 ANTRAG-DEMANDE'!AE56</f>
        <v>Catégorie 1 B</v>
      </c>
      <c r="AN11" s="362" t="str">
        <f t="shared" si="6"/>
        <v>Kategorie 1 B</v>
      </c>
    </row>
    <row r="12" spans="1:43" ht="42" customHeight="1">
      <c r="A12" s="1623"/>
      <c r="B12" s="1644"/>
      <c r="C12" s="1340" t="str">
        <f>AN12</f>
        <v>Kategorie 2</v>
      </c>
      <c r="D12" s="1350"/>
      <c r="E12" s="1353"/>
      <c r="F12" s="1555"/>
      <c r="G12" s="1556">
        <f t="shared" si="4"/>
        <v>0</v>
      </c>
      <c r="H12" s="1557">
        <f>'1 ANTRAG-DEMANDE'!C57</f>
        <v>0</v>
      </c>
      <c r="I12" s="1557">
        <f>'1 ANTRAG-DEMANDE'!B57</f>
        <v>0</v>
      </c>
      <c r="J12" s="1557">
        <f t="shared" si="7"/>
        <v>0</v>
      </c>
      <c r="K12" s="1556">
        <f t="shared" si="5"/>
        <v>0</v>
      </c>
      <c r="L12" s="1558"/>
      <c r="AL12" s="410" t="str">
        <f>'1 ANTRAG-DEMANDE'!AD57</f>
        <v>Kategorie 2</v>
      </c>
      <c r="AM12" s="1178" t="str">
        <f>'1 ANTRAG-DEMANDE'!AE57</f>
        <v>Catégorie 2</v>
      </c>
      <c r="AN12" s="362" t="str">
        <f t="shared" si="6"/>
        <v>Kategorie 2</v>
      </c>
    </row>
    <row r="13" spans="1:43" s="1343" customFormat="1" ht="42" customHeight="1" thickBot="1">
      <c r="A13" s="1624"/>
      <c r="B13" s="1645"/>
      <c r="C13" s="1342" t="str">
        <f>AN13</f>
        <v>Kategorie 3</v>
      </c>
      <c r="D13" s="1351"/>
      <c r="E13" s="1354"/>
      <c r="F13" s="1559"/>
      <c r="G13" s="1560">
        <f t="shared" si="4"/>
        <v>0</v>
      </c>
      <c r="H13" s="1561">
        <f>'1 ANTRAG-DEMANDE'!C58</f>
        <v>0</v>
      </c>
      <c r="I13" s="1561">
        <f>'1 ANTRAG-DEMANDE'!B58</f>
        <v>0</v>
      </c>
      <c r="J13" s="1561">
        <f t="shared" si="7"/>
        <v>0</v>
      </c>
      <c r="K13" s="1560">
        <f t="shared" si="5"/>
        <v>0</v>
      </c>
      <c r="L13" s="1562"/>
      <c r="N13" s="1477"/>
      <c r="Z13" s="1809"/>
      <c r="AA13" s="1809"/>
      <c r="AB13" s="1809"/>
      <c r="AG13" s="1344"/>
      <c r="AI13" s="1345"/>
      <c r="AJ13" s="1346"/>
      <c r="AK13" s="1347" t="str">
        <f t="shared" si="1"/>
        <v/>
      </c>
      <c r="AL13" s="1348" t="str">
        <f>'1 ANTRAG-DEMANDE'!AD58</f>
        <v>Kategorie 3</v>
      </c>
      <c r="AM13" s="1349" t="str">
        <f>'1 ANTRAG-DEMANDE'!AE58</f>
        <v>Catégorie 3</v>
      </c>
      <c r="AN13" s="1347" t="str">
        <f t="shared" si="6"/>
        <v>Kategorie 3</v>
      </c>
      <c r="AQ13" s="1344"/>
    </row>
    <row r="14" spans="1:43" s="1484" customFormat="1" ht="42" customHeight="1" thickBot="1">
      <c r="A14" s="1625" t="str">
        <f>AN14</f>
        <v>Ärztl. Leitung</v>
      </c>
      <c r="B14" s="1646" t="str">
        <f>AK14</f>
        <v>Ärztl. Leitung</v>
      </c>
      <c r="C14" s="1481"/>
      <c r="D14" s="1482"/>
      <c r="E14" s="1483"/>
      <c r="F14" s="1563"/>
      <c r="G14" s="1564"/>
      <c r="H14" s="1564" t="str">
        <f>J14</f>
        <v>/</v>
      </c>
      <c r="I14" s="1564" t="str">
        <f>J14</f>
        <v>/</v>
      </c>
      <c r="J14" s="1565" t="str">
        <f>'1 ANTRAG-DEMANDE'!F103</f>
        <v>/</v>
      </c>
      <c r="K14" s="1564" t="str">
        <f t="shared" ref="K14:K19" si="8">J14</f>
        <v>/</v>
      </c>
      <c r="L14" s="1566"/>
      <c r="N14" s="1668" t="s">
        <v>1760</v>
      </c>
      <c r="Z14" s="1810"/>
      <c r="AA14" s="1810"/>
      <c r="AB14" s="1810"/>
      <c r="AG14" s="1485"/>
      <c r="AI14" s="420" t="s">
        <v>1758</v>
      </c>
      <c r="AJ14" s="421" t="s">
        <v>1759</v>
      </c>
      <c r="AK14" s="364" t="s">
        <v>1737</v>
      </c>
      <c r="AL14" s="258" t="s">
        <v>1737</v>
      </c>
      <c r="AM14" s="781" t="s">
        <v>1796</v>
      </c>
      <c r="AN14" s="1613" t="str">
        <f t="shared" si="6"/>
        <v>Ärztl. Leitung</v>
      </c>
      <c r="AQ14" s="1485"/>
    </row>
    <row r="15" spans="1:43" s="1357" customFormat="1" ht="42" customHeight="1">
      <c r="A15" s="1626" t="str">
        <f>AN15</f>
        <v>Arbeitszeit Pflege</v>
      </c>
      <c r="B15" s="1647" t="str">
        <f>AK15</f>
        <v>Arbeitstage pro FTE pro Jahr</v>
      </c>
      <c r="C15" s="1359"/>
      <c r="D15" s="1360"/>
      <c r="E15" s="1363"/>
      <c r="F15" s="1567"/>
      <c r="G15" s="1568"/>
      <c r="H15" s="1568">
        <f>I15</f>
        <v>0</v>
      </c>
      <c r="I15" s="1569">
        <f>'1 ANTRAG-DEMANDE'!B124</f>
        <v>0</v>
      </c>
      <c r="J15" s="1569">
        <f>'1 ANTRAG-DEMANDE'!S124</f>
        <v>0</v>
      </c>
      <c r="K15" s="1568">
        <f t="shared" si="8"/>
        <v>0</v>
      </c>
      <c r="L15" s="1570"/>
      <c r="N15" s="1478"/>
      <c r="Z15" s="1817">
        <v>210</v>
      </c>
      <c r="AA15" s="1811">
        <v>180</v>
      </c>
      <c r="AB15" s="1811">
        <v>230</v>
      </c>
      <c r="AG15" s="1358"/>
      <c r="AI15" s="1361" t="str">
        <f>'1 ANTRAG-DEMANDE'!AD124</f>
        <v>Arbeitstage pro FTE pro Jahr</v>
      </c>
      <c r="AJ15" s="1362" t="str">
        <f>'1 ANTRAG-DEMANDE'!AE124</f>
        <v>Nombre de jours de travail /EPT /an</v>
      </c>
      <c r="AK15" s="1613" t="str">
        <f t="shared" si="1"/>
        <v>Arbeitstage pro FTE pro Jahr</v>
      </c>
      <c r="AL15" s="258" t="s">
        <v>1738</v>
      </c>
      <c r="AM15" s="781" t="s">
        <v>1778</v>
      </c>
      <c r="AN15" s="476" t="str">
        <f t="shared" si="6"/>
        <v>Arbeitszeit Pflege</v>
      </c>
      <c r="AQ15" s="1358"/>
    </row>
    <row r="16" spans="1:43" ht="42" customHeight="1">
      <c r="A16" s="1627"/>
      <c r="B16" s="1644" t="str">
        <f>AK16</f>
        <v>Arbeitszeit pro Tag</v>
      </c>
      <c r="C16" s="1340"/>
      <c r="D16" s="1350"/>
      <c r="E16" s="1353"/>
      <c r="F16" s="1579"/>
      <c r="G16" s="1580"/>
      <c r="H16" s="1580">
        <f t="shared" ref="H16:H19" si="9">I16</f>
        <v>0</v>
      </c>
      <c r="I16" s="1581">
        <f>'1 ANTRAG-DEMANDE'!B126</f>
        <v>0</v>
      </c>
      <c r="J16" s="1581">
        <f>'1 ANTRAG-DEMANDE'!S126</f>
        <v>0</v>
      </c>
      <c r="K16" s="1580">
        <f t="shared" si="8"/>
        <v>0</v>
      </c>
      <c r="L16" s="1582"/>
      <c r="Z16" s="1818">
        <f>42/5/24</f>
        <v>0.35000000000000003</v>
      </c>
      <c r="AA16" s="1815">
        <f>34/5/24</f>
        <v>0.28333333333333333</v>
      </c>
      <c r="AB16" s="1815">
        <f>50/5/24</f>
        <v>0.41666666666666669</v>
      </c>
      <c r="AI16" s="417" t="str">
        <f>'1 ANTRAG-DEMANDE'!AD126</f>
        <v>Arbeitszeit pro Tag</v>
      </c>
      <c r="AJ16" s="418" t="str">
        <f>'1 ANTRAG-DEMANDE'!AE126</f>
        <v>Duréée de travail par jour</v>
      </c>
      <c r="AK16" s="476" t="str">
        <f t="shared" si="1"/>
        <v>Arbeitszeit pro Tag</v>
      </c>
      <c r="AL16" s="258"/>
      <c r="AM16" s="781"/>
      <c r="AN16" s="476" t="str">
        <f t="shared" si="6"/>
        <v/>
      </c>
    </row>
    <row r="17" spans="1:43" ht="21.75" hidden="1" customHeight="1">
      <c r="A17" s="1627"/>
      <c r="B17" s="1644" t="str">
        <f>AK17</f>
        <v>Anzahl Schichten</v>
      </c>
      <c r="C17" s="1340"/>
      <c r="D17" s="1350"/>
      <c r="E17" s="1353"/>
      <c r="F17" s="1575"/>
      <c r="G17" s="1576"/>
      <c r="H17" s="1576">
        <f t="shared" si="9"/>
        <v>0</v>
      </c>
      <c r="I17" s="1577">
        <f>'1 ANTRAG-DEMANDE'!B128</f>
        <v>0</v>
      </c>
      <c r="J17" s="1577">
        <f>'1 ANTRAG-DEMANDE'!S128</f>
        <v>0</v>
      </c>
      <c r="K17" s="1576">
        <f t="shared" si="8"/>
        <v>0</v>
      </c>
      <c r="L17" s="1578"/>
      <c r="Z17" s="663"/>
      <c r="AI17" s="417" t="str">
        <f>'1 ANTRAG-DEMANDE'!AD128</f>
        <v>Anzahl Schichten</v>
      </c>
      <c r="AJ17" s="418" t="str">
        <f>'1 ANTRAG-DEMANDE'!AE128</f>
        <v>Nombre de plages horaire</v>
      </c>
      <c r="AK17" s="476" t="str">
        <f t="shared" si="1"/>
        <v>Anzahl Schichten</v>
      </c>
      <c r="AL17" s="258"/>
      <c r="AM17" s="781"/>
      <c r="AN17" s="476" t="str">
        <f t="shared" si="6"/>
        <v/>
      </c>
    </row>
    <row r="18" spans="1:43" ht="42" customHeight="1">
      <c r="A18" s="1627"/>
      <c r="B18" s="1644" t="str">
        <f>AK18</f>
        <v>Zusatz für Schichtwechsel  pro Tag</v>
      </c>
      <c r="C18" s="1340"/>
      <c r="D18" s="1350"/>
      <c r="E18" s="1353"/>
      <c r="F18" s="1579"/>
      <c r="G18" s="1580"/>
      <c r="H18" s="1580">
        <f t="shared" si="9"/>
        <v>0</v>
      </c>
      <c r="I18" s="1581">
        <f>'1 ANTRAG-DEMANDE'!B129</f>
        <v>0</v>
      </c>
      <c r="J18" s="1581">
        <f>'1 ANTRAG-DEMANDE'!S129</f>
        <v>0</v>
      </c>
      <c r="K18" s="1580">
        <f t="shared" si="8"/>
        <v>0</v>
      </c>
      <c r="L18" s="1582"/>
      <c r="N18" s="1476" t="s">
        <v>1757</v>
      </c>
      <c r="Z18" s="1818">
        <f>3*0.5/24</f>
        <v>6.25E-2</v>
      </c>
      <c r="AA18" s="1815">
        <v>2.7777777777777776E-2</v>
      </c>
      <c r="AB18" s="1815">
        <f>3*1/24</f>
        <v>0.125</v>
      </c>
      <c r="AI18" s="417" t="str">
        <f>'1 ANTRAG-DEMANDE'!AD129</f>
        <v>Zusatz für Schichtwechsel  pro Tag</v>
      </c>
      <c r="AJ18" s="418" t="str">
        <f>'1 ANTRAG-DEMANDE'!AE129</f>
        <v>Supplément pour chevauchement par jour</v>
      </c>
      <c r="AK18" s="476" t="str">
        <f t="shared" si="1"/>
        <v>Zusatz für Schichtwechsel  pro Tag</v>
      </c>
      <c r="AL18" s="258"/>
      <c r="AM18" s="781"/>
      <c r="AN18" s="476" t="str">
        <f t="shared" si="6"/>
        <v/>
      </c>
    </row>
    <row r="19" spans="1:43" s="1343" customFormat="1" ht="42" customHeight="1" thickBot="1">
      <c r="A19" s="1628"/>
      <c r="B19" s="1645" t="str">
        <f t="shared" ref="B19:B26" si="10">AK19</f>
        <v>Zeitkompensation pro Spät-Nachtschicht (h)</v>
      </c>
      <c r="C19" s="1342"/>
      <c r="D19" s="1351"/>
      <c r="E19" s="1364"/>
      <c r="F19" s="1583"/>
      <c r="G19" s="1584"/>
      <c r="H19" s="1584">
        <f t="shared" si="9"/>
        <v>0</v>
      </c>
      <c r="I19" s="1585">
        <f>'1 ANTRAG-DEMANDE'!B131</f>
        <v>0</v>
      </c>
      <c r="J19" s="1585">
        <f>'1 ANTRAG-DEMANDE'!S131</f>
        <v>0</v>
      </c>
      <c r="K19" s="1584">
        <f t="shared" si="8"/>
        <v>0</v>
      </c>
      <c r="L19" s="1586"/>
      <c r="N19" s="1477"/>
      <c r="Z19" s="1819">
        <v>4.1666666666666664E-2</v>
      </c>
      <c r="AA19" s="1816">
        <v>0</v>
      </c>
      <c r="AB19" s="1816">
        <v>0.125</v>
      </c>
      <c r="AG19" s="1344"/>
      <c r="AI19" s="1365" t="str">
        <f>'1 ANTRAG-DEMANDE'!AD131</f>
        <v>Zeitkompensation pro Spät-Nachtschicht (h)</v>
      </c>
      <c r="AJ19" s="1366" t="str">
        <f>'1 ANTRAG-DEMANDE'!AE131</f>
        <v>Compensation  travail de nuit</v>
      </c>
      <c r="AK19" s="1741" t="str">
        <f t="shared" si="1"/>
        <v>Zeitkompensation pro Spät-Nachtschicht (h)</v>
      </c>
      <c r="AL19" s="1345"/>
      <c r="AM19" s="1346"/>
      <c r="AN19" s="476" t="str">
        <f t="shared" si="6"/>
        <v/>
      </c>
      <c r="AQ19" s="1344"/>
    </row>
    <row r="20" spans="1:43" s="1357" customFormat="1" ht="42" customHeight="1">
      <c r="A20" s="1626" t="str">
        <f>AN20</f>
        <v>Pflege am Bett</v>
      </c>
      <c r="B20" s="1647" t="str">
        <f t="shared" si="10"/>
        <v xml:space="preserve">Dipl. Expertin/Experte Intensivpflege NDS HF </v>
      </c>
      <c r="C20" s="1359"/>
      <c r="D20" s="1360"/>
      <c r="E20" s="1363"/>
      <c r="F20" s="1587"/>
      <c r="G20" s="1588"/>
      <c r="H20" s="1588">
        <f>I20</f>
        <v>0</v>
      </c>
      <c r="I20" s="1589">
        <f>'1 ANTRAG-DEMANDE'!B142</f>
        <v>0</v>
      </c>
      <c r="J20" s="1589">
        <f>'1 ANTRAG-DEMANDE'!V142</f>
        <v>0</v>
      </c>
      <c r="K20" s="1588">
        <f t="shared" ref="K20:K30" si="11">J20</f>
        <v>0</v>
      </c>
      <c r="L20" s="1590"/>
      <c r="N20" s="1478"/>
      <c r="Z20" s="1811"/>
      <c r="AA20" s="1811"/>
      <c r="AB20" s="1811"/>
      <c r="AG20" s="1358"/>
      <c r="AI20" s="1361" t="str">
        <f>'1 ANTRAG-DEMANDE'!AD142</f>
        <v xml:space="preserve">Dipl. Expertin/Experte Intensivpflege NDS HF </v>
      </c>
      <c r="AJ20" s="1362" t="str">
        <f>'1 ANTRAG-DEMANDE'!AE142</f>
        <v xml:space="preserve">Expert(e) diplômé(e) EPD ES en soins intensifs </v>
      </c>
      <c r="AK20" s="1129" t="str">
        <f t="shared" si="1"/>
        <v xml:space="preserve">Dipl. Expertin/Experte Intensivpflege NDS HF </v>
      </c>
      <c r="AL20" s="258" t="s">
        <v>1659</v>
      </c>
      <c r="AM20" s="781" t="s">
        <v>1748</v>
      </c>
      <c r="AN20" s="1613" t="str">
        <f t="shared" si="6"/>
        <v>Pflege am Bett</v>
      </c>
      <c r="AQ20" s="1358"/>
    </row>
    <row r="21" spans="1:43" ht="42" customHeight="1">
      <c r="A21" s="1627"/>
      <c r="B21" s="1644" t="str">
        <f t="shared" si="10"/>
        <v>Dipl. Pflegefachpersonal mit Zusatzausbildung IP-Ausland, mit SGI-Äquivalenz</v>
      </c>
      <c r="C21" s="1340"/>
      <c r="D21" s="1350"/>
      <c r="E21" s="1353"/>
      <c r="F21" s="1571"/>
      <c r="G21" s="1572"/>
      <c r="H21" s="1572">
        <f t="shared" ref="H21:H25" si="12">I21</f>
        <v>0</v>
      </c>
      <c r="I21" s="1573">
        <f>'1 ANTRAG-DEMANDE'!B143</f>
        <v>0</v>
      </c>
      <c r="J21" s="1573">
        <f>'1 ANTRAG-DEMANDE'!V143</f>
        <v>0</v>
      </c>
      <c r="K21" s="1572">
        <f t="shared" si="11"/>
        <v>0</v>
      </c>
      <c r="L21" s="1574"/>
      <c r="AI21" s="417" t="str">
        <f>'1 ANTRAG-DEMANDE'!AD143</f>
        <v>Dipl. Pflegefachpersonal mit Zusatzausbildung IP-Ausland, mit SGI-Äquivalenz</v>
      </c>
      <c r="AJ21" s="418" t="str">
        <f>'1 ANTRAG-DEMANDE'!AE143</f>
        <v>Infirmier / infirmière diplômé(e)  avec spécialisation en SI à l’étranger avec équivalence SSMI</v>
      </c>
      <c r="AK21" s="362" t="str">
        <f t="shared" si="1"/>
        <v>Dipl. Pflegefachpersonal mit Zusatzausbildung IP-Ausland, mit SGI-Äquivalenz</v>
      </c>
      <c r="AL21" s="468" t="s">
        <v>1802</v>
      </c>
      <c r="AM21" s="1657" t="s">
        <v>1736</v>
      </c>
      <c r="AN21" s="362" t="str">
        <f t="shared" si="6"/>
        <v>Zusammenfassung Daten</v>
      </c>
      <c r="AO21" s="1654"/>
      <c r="AP21" s="1654"/>
    </row>
    <row r="22" spans="1:43" ht="42" customHeight="1">
      <c r="A22" s="1627"/>
      <c r="B22" s="1644" t="str">
        <f t="shared" si="10"/>
        <v xml:space="preserve">Dipl. Pflegefachpersonal mit Zusatzausbildung IP-Ausland, ohne SGI-Äquivalenz </v>
      </c>
      <c r="C22" s="1340"/>
      <c r="D22" s="1350"/>
      <c r="E22" s="1353"/>
      <c r="F22" s="1571"/>
      <c r="G22" s="1572"/>
      <c r="H22" s="1572">
        <f t="shared" si="12"/>
        <v>0</v>
      </c>
      <c r="I22" s="1573">
        <f>'1 ANTRAG-DEMANDE'!B144</f>
        <v>0</v>
      </c>
      <c r="J22" s="1573">
        <f>'1 ANTRAG-DEMANDE'!V144</f>
        <v>0</v>
      </c>
      <c r="K22" s="1572">
        <f t="shared" si="11"/>
        <v>0</v>
      </c>
      <c r="L22" s="1574"/>
      <c r="AI22" s="417" t="str">
        <f>'1 ANTRAG-DEMANDE'!AD144</f>
        <v xml:space="preserve">Dipl. Pflegefachpersonal mit Zusatzausbildung IP-Ausland, ohne SGI-Äquivalenz </v>
      </c>
      <c r="AJ22" s="418" t="str">
        <f>'1 ANTRAG-DEMANDE'!AE144</f>
        <v xml:space="preserve">Infirmier / infirmière diplômé(e) avec spécialisation en SI à l’étranger sans équivalence SSMI </v>
      </c>
      <c r="AK22" s="362" t="str">
        <f t="shared" si="1"/>
        <v xml:space="preserve">Dipl. Pflegefachpersonal mit Zusatzausbildung IP-Ausland, ohne SGI-Äquivalenz </v>
      </c>
      <c r="AL22" s="468" t="s">
        <v>1803</v>
      </c>
      <c r="AM22" s="469" t="s">
        <v>1792</v>
      </c>
      <c r="AN22" s="362" t="str">
        <f t="shared" si="6"/>
        <v>Dieses Datenblatt gibt den Überblick der Daten der Station. Es übernimmt die Daten aus "1 ANTRAG", andere Daten können hinzugefügt werden falls erwünscht.</v>
      </c>
      <c r="AO22" s="1654"/>
      <c r="AP22" s="1654"/>
    </row>
    <row r="23" spans="1:43" ht="42" customHeight="1">
      <c r="A23" s="1627"/>
      <c r="B23" s="1644" t="str">
        <f t="shared" si="10"/>
        <v>Dipl. Pflegefachpersonal in WB (NDS HF IP)</v>
      </c>
      <c r="C23" s="1340"/>
      <c r="D23" s="1350"/>
      <c r="E23" s="1353"/>
      <c r="F23" s="1571"/>
      <c r="G23" s="1572"/>
      <c r="H23" s="1572">
        <f t="shared" si="12"/>
        <v>0</v>
      </c>
      <c r="I23" s="1573">
        <f>'1 ANTRAG-DEMANDE'!B145</f>
        <v>0</v>
      </c>
      <c r="J23" s="1573">
        <f>'1 ANTRAG-DEMANDE'!V145</f>
        <v>0</v>
      </c>
      <c r="K23" s="1572">
        <f t="shared" si="11"/>
        <v>0</v>
      </c>
      <c r="L23" s="1574"/>
      <c r="AI23" s="417" t="str">
        <f>'1 ANTRAG-DEMANDE'!AD145</f>
        <v>Dipl. Pflegefachpersonal in WB (NDS HF IP)</v>
      </c>
      <c r="AJ23" s="418" t="str">
        <f>'1 ANTRAG-DEMANDE'!AE145</f>
        <v xml:space="preserve">Infirmier / infirmière diplômé(e) en formation (Soins intensifs EPD ES) </v>
      </c>
      <c r="AK23" s="362" t="str">
        <f t="shared" si="1"/>
        <v>Dipl. Pflegefachpersonal in WB (NDS HF IP)</v>
      </c>
      <c r="AL23" s="468" t="s">
        <v>1804</v>
      </c>
      <c r="AM23" s="469" t="s">
        <v>1805</v>
      </c>
      <c r="AN23" s="362" t="str">
        <f t="shared" si="6"/>
        <v>Hellblaue Felder: fixe Daten (Übernahme aus Antrag)
Dunkelblaue Felder: Daten können geändert werden (teilweise übernommen aus Antrag, letztem oder nächstem Jahr)</v>
      </c>
      <c r="AO23" s="1654"/>
      <c r="AP23" s="1654"/>
    </row>
    <row r="24" spans="1:43" ht="42" customHeight="1">
      <c r="A24" s="1627"/>
      <c r="B24" s="1644" t="str">
        <f t="shared" si="10"/>
        <v>Dipl. Pflegefachpersonal (Grundausbildung Diplom HF/FH CH oder Ausland mit CH Registrierung)</v>
      </c>
      <c r="C24" s="1340"/>
      <c r="D24" s="1350"/>
      <c r="E24" s="1353"/>
      <c r="F24" s="1571"/>
      <c r="G24" s="1572"/>
      <c r="H24" s="1572">
        <f t="shared" si="12"/>
        <v>0</v>
      </c>
      <c r="I24" s="1573">
        <f>'1 ANTRAG-DEMANDE'!B146</f>
        <v>0</v>
      </c>
      <c r="J24" s="1573">
        <f>'1 ANTRAG-DEMANDE'!V146</f>
        <v>0</v>
      </c>
      <c r="K24" s="1572">
        <f t="shared" si="11"/>
        <v>0</v>
      </c>
      <c r="L24" s="1574"/>
      <c r="AI24" s="417" t="str">
        <f>'1 ANTRAG-DEMANDE'!AD146</f>
        <v>Dipl. Pflegefachpersonal (Grundausbildung Diplom HF/FH CH oder Ausland mit CH Registrierung)</v>
      </c>
      <c r="AJ24" s="418" t="str">
        <f>'1 ANTRAG-DEMANDE'!AE146</f>
        <v xml:space="preserve">Infirmier / infirmière diplômé(e) (Diplôme suisse ES/HES ou diplôme étranger avec reconnaissance CH) </v>
      </c>
      <c r="AK24" s="362" t="str">
        <f t="shared" si="1"/>
        <v>Dipl. Pflegefachpersonal (Grundausbildung Diplom HF/FH CH oder Ausland mit CH Registrierung)</v>
      </c>
      <c r="AL24" s="468" t="s">
        <v>1806</v>
      </c>
      <c r="AM24" s="469" t="s">
        <v>1793</v>
      </c>
      <c r="AN24" s="362" t="str">
        <f t="shared" si="6"/>
        <v>Falls erwünscht, dunkelblaue Felder ausfüllen / ändern →</v>
      </c>
      <c r="AO24" s="1654"/>
      <c r="AP24" s="1654"/>
    </row>
    <row r="25" spans="1:43" s="1343" customFormat="1" ht="42" customHeight="1" thickBot="1">
      <c r="A25" s="1628"/>
      <c r="B25" s="1645" t="str">
        <f t="shared" si="10"/>
        <v>Fachmann / Fachfrau Gesundheit EFZ (FAGE)</v>
      </c>
      <c r="C25" s="1342"/>
      <c r="D25" s="1351"/>
      <c r="E25" s="1364"/>
      <c r="F25" s="1591"/>
      <c r="G25" s="1592"/>
      <c r="H25" s="1592">
        <f t="shared" si="12"/>
        <v>0</v>
      </c>
      <c r="I25" s="1593">
        <f>'1 ANTRAG-DEMANDE'!B147</f>
        <v>0</v>
      </c>
      <c r="J25" s="1593">
        <f>'1 ANTRAG-DEMANDE'!V147</f>
        <v>0</v>
      </c>
      <c r="K25" s="1592">
        <f t="shared" si="11"/>
        <v>0</v>
      </c>
      <c r="L25" s="1594"/>
      <c r="N25" s="1477"/>
      <c r="Z25" s="1809"/>
      <c r="AA25" s="1809"/>
      <c r="AB25" s="1809"/>
      <c r="AG25" s="1344"/>
      <c r="AI25" s="1365" t="str">
        <f>'1 ANTRAG-DEMANDE'!AD147</f>
        <v>Fachmann / Fachfrau Gesundheit EFZ (FAGE)</v>
      </c>
      <c r="AJ25" s="1366" t="str">
        <f>'1 ANTRAG-DEMANDE'!AE147</f>
        <v>Assistants en soins et santé communautaire CFC (ASSC)</v>
      </c>
      <c r="AK25" s="1347" t="str">
        <f t="shared" si="1"/>
        <v>Fachmann / Fachfrau Gesundheit EFZ (FAGE)</v>
      </c>
      <c r="AL25" s="1656" t="s">
        <v>1807</v>
      </c>
      <c r="AM25" s="1658" t="s">
        <v>1797</v>
      </c>
      <c r="AN25" s="362" t="str">
        <f t="shared" si="6"/>
        <v>Zusammenfassung &amp; Bilanz 
s. rosa Felder</v>
      </c>
      <c r="AO25" s="1655"/>
      <c r="AP25" s="1655"/>
      <c r="AQ25" s="1344"/>
    </row>
    <row r="26" spans="1:43" ht="42" customHeight="1">
      <c r="A26" s="1623" t="str">
        <f>AN26</f>
        <v>Pflege NICHT am Bett</v>
      </c>
      <c r="B26" s="1644" t="str">
        <f t="shared" si="10"/>
        <v>Führungsverantwortliche / Management</v>
      </c>
      <c r="C26" s="1340"/>
      <c r="D26" s="1350"/>
      <c r="E26" s="1353"/>
      <c r="F26" s="1571"/>
      <c r="G26" s="1572"/>
      <c r="H26" s="1572">
        <f>I26</f>
        <v>0</v>
      </c>
      <c r="I26" s="1573">
        <f>'1 ANTRAG-DEMANDE'!B135</f>
        <v>0</v>
      </c>
      <c r="J26" s="1573">
        <f>'1 ANTRAG-DEMANDE'!T135</f>
        <v>0</v>
      </c>
      <c r="K26" s="1572">
        <f t="shared" si="11"/>
        <v>0</v>
      </c>
      <c r="L26" s="1574"/>
      <c r="AI26" s="417" t="str">
        <f>'1 ANTRAG-DEMANDE'!AD135</f>
        <v>Führungsverantwortliche / Management</v>
      </c>
      <c r="AJ26" s="418" t="str">
        <f>'1 ANTRAG-DEMANDE'!AE135</f>
        <v>Responsable directions soins / management</v>
      </c>
      <c r="AK26" s="362" t="str">
        <f t="shared" si="1"/>
        <v>Führungsverantwortliche / Management</v>
      </c>
      <c r="AL26" s="258" t="s">
        <v>1779</v>
      </c>
      <c r="AM26" s="781" t="s">
        <v>1780</v>
      </c>
      <c r="AN26" s="1613" t="str">
        <f t="shared" ref="AN26" si="13">IF(AL26=0,"",IF($A$1="D",AL26,AM26))</f>
        <v>Pflege NICHT am Bett</v>
      </c>
    </row>
    <row r="27" spans="1:43" ht="42" customHeight="1">
      <c r="A27" s="1623"/>
      <c r="B27" s="1644" t="str">
        <f>AK27</f>
        <v>Pflegeexperten, Forschung</v>
      </c>
      <c r="C27" s="1340"/>
      <c r="D27" s="1350"/>
      <c r="E27" s="1353"/>
      <c r="F27" s="1571"/>
      <c r="G27" s="1572"/>
      <c r="H27" s="1572">
        <f t="shared" ref="H27:H30" si="14">I27</f>
        <v>0</v>
      </c>
      <c r="I27" s="1573">
        <f>'1 ANTRAG-DEMANDE'!B136</f>
        <v>0</v>
      </c>
      <c r="J27" s="1573">
        <f>'1 ANTRAG-DEMANDE'!T136</f>
        <v>0</v>
      </c>
      <c r="K27" s="1572">
        <f t="shared" si="11"/>
        <v>0</v>
      </c>
      <c r="L27" s="1574"/>
      <c r="AI27" s="417" t="str">
        <f>'1 ANTRAG-DEMANDE'!AD136</f>
        <v>Pflegeexperten, Forschung</v>
      </c>
      <c r="AJ27" s="418" t="str">
        <f>'1 ANTRAG-DEMANDE'!AE136</f>
        <v xml:space="preserve">Infirmier/infirmière clinicien(ne),  recherche </v>
      </c>
      <c r="AK27" s="362" t="str">
        <f t="shared" si="1"/>
        <v>Pflegeexperten, Forschung</v>
      </c>
      <c r="AL27" s="1333"/>
      <c r="AM27" s="1334"/>
      <c r="AN27" s="362"/>
    </row>
    <row r="28" spans="1:43" ht="42" customHeight="1">
      <c r="A28" s="1623"/>
      <c r="B28" s="1644" t="str">
        <f>AK28</f>
        <v>Berufsbildner, Kliniklehrer</v>
      </c>
      <c r="C28" s="1340"/>
      <c r="D28" s="1350"/>
      <c r="E28" s="1353"/>
      <c r="F28" s="1571"/>
      <c r="G28" s="1572"/>
      <c r="H28" s="1572">
        <f t="shared" si="14"/>
        <v>0</v>
      </c>
      <c r="I28" s="1573">
        <f>'1 ANTRAG-DEMANDE'!B137</f>
        <v>0</v>
      </c>
      <c r="J28" s="1573">
        <f>'1 ANTRAG-DEMANDE'!T137</f>
        <v>0</v>
      </c>
      <c r="K28" s="1572">
        <f t="shared" si="11"/>
        <v>0</v>
      </c>
      <c r="L28" s="1574"/>
      <c r="AI28" s="417" t="str">
        <f>'1 ANTRAG-DEMANDE'!AD137</f>
        <v>Berufsbildner, Kliniklehrer</v>
      </c>
      <c r="AJ28" s="418" t="str">
        <f>'1 ANTRAG-DEMANDE'!AE137</f>
        <v>Infirmier / infirmière formateur</v>
      </c>
      <c r="AK28" s="362" t="str">
        <f t="shared" si="1"/>
        <v>Berufsbildner, Kliniklehrer</v>
      </c>
      <c r="AL28" s="1333"/>
      <c r="AM28" s="1334"/>
      <c r="AN28" s="362" t="str">
        <f t="shared" ref="AN28:AN38" si="15">IF(AL28=0,"",IF($A$1="D",AL28,AM28))</f>
        <v/>
      </c>
    </row>
    <row r="29" spans="1:43" s="1343" customFormat="1" ht="42" customHeight="1" thickBot="1">
      <c r="A29" s="1624"/>
      <c r="B29" s="1645" t="str">
        <f>AK29</f>
        <v>Leistungen ausserhalb der IS und Zusatzfunktionen ohne Tätigkeit am Patientenbett</v>
      </c>
      <c r="C29" s="1342"/>
      <c r="D29" s="1351"/>
      <c r="E29" s="1364"/>
      <c r="F29" s="1591"/>
      <c r="G29" s="1592"/>
      <c r="H29" s="1592">
        <f t="shared" si="14"/>
        <v>0</v>
      </c>
      <c r="I29" s="1593">
        <f>'1 ANTRAG-DEMANDE'!B138</f>
        <v>0</v>
      </c>
      <c r="J29" s="1593">
        <f>'1 ANTRAG-DEMANDE'!T138</f>
        <v>0</v>
      </c>
      <c r="K29" s="1592">
        <f t="shared" si="11"/>
        <v>0</v>
      </c>
      <c r="L29" s="1594"/>
      <c r="N29" s="1477"/>
      <c r="Z29" s="1809"/>
      <c r="AA29" s="1809"/>
      <c r="AB29" s="1809"/>
      <c r="AG29" s="1344"/>
      <c r="AI29" s="1365" t="str">
        <f>'1 ANTRAG-DEMANDE'!AD138</f>
        <v>Leistungen ausserhalb der IS und Zusatzfunktionen ohne Tätigkeit am Patientenbett</v>
      </c>
      <c r="AJ29" s="1366" t="str">
        <f>'1 ANTRAG-DEMANDE'!AE138</f>
        <v>Prestations en dehors de l'USI et fonctions supplémentaires hors travail au lit du patient</v>
      </c>
      <c r="AK29" s="1347" t="str">
        <f t="shared" si="1"/>
        <v>Leistungen ausserhalb der IS und Zusatzfunktionen ohne Tätigkeit am Patientenbett</v>
      </c>
      <c r="AL29" s="1438"/>
      <c r="AM29" s="1368"/>
      <c r="AN29" s="1439" t="str">
        <f t="shared" si="15"/>
        <v/>
      </c>
      <c r="AQ29" s="1344"/>
    </row>
    <row r="30" spans="1:43" s="1490" customFormat="1" ht="42" customHeight="1" thickBot="1">
      <c r="A30" s="1629" t="str">
        <f>AK30</f>
        <v>Sekretariat</v>
      </c>
      <c r="B30" s="1648"/>
      <c r="C30" s="1486"/>
      <c r="D30" s="1487"/>
      <c r="E30" s="1488"/>
      <c r="F30" s="1595"/>
      <c r="G30" s="1596"/>
      <c r="H30" s="1596">
        <f t="shared" si="14"/>
        <v>0</v>
      </c>
      <c r="I30" s="1597">
        <f>'1 ANTRAG-DEMANDE'!B153</f>
        <v>0</v>
      </c>
      <c r="J30" s="1597">
        <f>'1 ANTRAG-DEMANDE'!T153</f>
        <v>0</v>
      </c>
      <c r="K30" s="1596">
        <f t="shared" si="11"/>
        <v>0</v>
      </c>
      <c r="L30" s="1598"/>
      <c r="N30" s="1489"/>
      <c r="Z30" s="1812"/>
      <c r="AA30" s="1812"/>
      <c r="AB30" s="1812"/>
      <c r="AG30" s="1491"/>
      <c r="AI30" s="1492" t="s">
        <v>123</v>
      </c>
      <c r="AJ30" s="1493" t="s">
        <v>623</v>
      </c>
      <c r="AK30" s="1494" t="str">
        <f t="shared" ref="AK30" si="16">IF(AI30=0,"",IF($A$1="D",AI30,AJ30))</f>
        <v>Sekretariat</v>
      </c>
      <c r="AL30" s="1614" t="s">
        <v>123</v>
      </c>
      <c r="AM30" s="1615" t="s">
        <v>623</v>
      </c>
      <c r="AN30" s="1616" t="str">
        <f>IF(AL30=0,"",IF($A$1="D",AL30,AM30))</f>
        <v>Sekretariat</v>
      </c>
      <c r="AQ30" s="1491"/>
    </row>
    <row r="31" spans="1:43" ht="42" customHeight="1">
      <c r="AL31" s="1333"/>
      <c r="AM31" s="1332"/>
      <c r="AN31" s="362" t="str">
        <f t="shared" si="15"/>
        <v/>
      </c>
    </row>
    <row r="32" spans="1:43" s="510" customFormat="1" ht="60.75" customHeight="1">
      <c r="A32" s="1678" t="str">
        <f>AK32</f>
        <v>Übersicht der Station: Aktivität, Personal nach Reglement</v>
      </c>
      <c r="B32" s="1679"/>
      <c r="C32" s="1679"/>
      <c r="D32" s="1679"/>
      <c r="E32" s="1679"/>
      <c r="F32" s="2408" t="str">
        <f>'4b Visitation'!$D$50</f>
        <v xml:space="preserve">,  
, 
, </v>
      </c>
      <c r="G32" s="2408"/>
      <c r="H32" s="2408"/>
      <c r="I32" s="2408"/>
      <c r="J32" s="2408"/>
      <c r="K32" s="2408"/>
      <c r="L32" s="2408"/>
      <c r="N32" s="1680"/>
      <c r="Z32" s="1813"/>
      <c r="AA32" s="1813"/>
      <c r="AB32" s="1813"/>
      <c r="AG32" s="1050"/>
      <c r="AI32" s="258" t="s">
        <v>1771</v>
      </c>
      <c r="AJ32" s="781" t="s">
        <v>1781</v>
      </c>
      <c r="AK32" s="476" t="str">
        <f t="shared" si="1"/>
        <v>Übersicht der Station: Aktivität, Personal nach Reglement</v>
      </c>
      <c r="AL32" s="1681"/>
      <c r="AM32" s="1682"/>
      <c r="AN32" s="476" t="str">
        <f t="shared" si="15"/>
        <v/>
      </c>
      <c r="AQ32" s="1050"/>
    </row>
    <row r="33" spans="1:43" ht="12" customHeight="1" thickBot="1">
      <c r="A33" s="847"/>
      <c r="B33" s="847"/>
      <c r="C33" s="847"/>
      <c r="D33" s="847"/>
      <c r="E33" s="847"/>
      <c r="F33" s="847"/>
      <c r="G33" s="847"/>
      <c r="H33" s="847"/>
      <c r="I33" s="847"/>
      <c r="J33" s="847"/>
      <c r="K33" s="847"/>
      <c r="L33" s="847"/>
      <c r="AI33" s="258"/>
      <c r="AJ33" s="781"/>
      <c r="AK33" s="362"/>
      <c r="AL33" s="1333"/>
      <c r="AM33" s="1332"/>
      <c r="AN33" s="362"/>
    </row>
    <row r="34" spans="1:43" ht="32.25" customHeight="1">
      <c r="A34" s="1697"/>
      <c r="B34" s="1698"/>
      <c r="C34" s="1698"/>
      <c r="D34" s="1698"/>
      <c r="E34" s="1699"/>
      <c r="F34" s="1700" t="str">
        <f t="shared" ref="F34:L34" si="17">IF(F2=0,"",F2)</f>
        <v/>
      </c>
      <c r="G34" s="1701" t="str">
        <f t="shared" si="17"/>
        <v/>
      </c>
      <c r="H34" s="1701">
        <f t="shared" si="17"/>
        <v>1898</v>
      </c>
      <c r="I34" s="1701">
        <f t="shared" si="17"/>
        <v>1899</v>
      </c>
      <c r="J34" s="1702" t="str">
        <f t="shared" si="17"/>
        <v/>
      </c>
      <c r="K34" s="1701" t="str">
        <f t="shared" si="17"/>
        <v/>
      </c>
      <c r="L34" s="1703" t="str">
        <f t="shared" si="17"/>
        <v/>
      </c>
      <c r="AI34" s="221"/>
      <c r="AJ34" s="347"/>
      <c r="AK34" s="362"/>
      <c r="AL34" s="1333"/>
      <c r="AM34" s="1332"/>
      <c r="AN34" s="362"/>
    </row>
    <row r="35" spans="1:43" s="510" customFormat="1" ht="18.75" customHeight="1" thickBot="1">
      <c r="A35" s="1690"/>
      <c r="B35" s="1428"/>
      <c r="C35" s="1428"/>
      <c r="D35" s="1428"/>
      <c r="E35" s="1691"/>
      <c r="F35" s="1692"/>
      <c r="G35" s="1693"/>
      <c r="H35" s="1693"/>
      <c r="I35" s="1694" t="str">
        <f>AK36</f>
        <v>gem. Antrag</v>
      </c>
      <c r="J35" s="1695" t="str">
        <f>AK36</f>
        <v>gem. Antrag</v>
      </c>
      <c r="K35" s="1693"/>
      <c r="L35" s="1696"/>
      <c r="N35" s="1680"/>
      <c r="Z35" s="1813"/>
      <c r="AA35" s="1813"/>
      <c r="AB35" s="1813"/>
      <c r="AG35" s="1050"/>
      <c r="AI35" s="258"/>
      <c r="AJ35" s="781"/>
      <c r="AK35" s="476"/>
      <c r="AL35" s="1681"/>
      <c r="AM35" s="1682"/>
      <c r="AN35" s="476"/>
      <c r="AQ35" s="1050"/>
    </row>
    <row r="36" spans="1:43" s="510" customFormat="1" ht="42" customHeight="1" thickBot="1">
      <c r="A36" s="1826" t="str">
        <f>B6</f>
        <v>Persönliche Bemerkungen</v>
      </c>
      <c r="B36" s="1727"/>
      <c r="C36" s="1683"/>
      <c r="D36" s="2409"/>
      <c r="E36" s="2410"/>
      <c r="F36" s="1684" t="str">
        <f>IF(F6=0,"",F6)</f>
        <v/>
      </c>
      <c r="G36" s="1685" t="str">
        <f t="shared" ref="G36:H36" si="18">IF(G6=0,"",G6)</f>
        <v/>
      </c>
      <c r="H36" s="1685" t="str">
        <f t="shared" si="18"/>
        <v/>
      </c>
      <c r="I36" s="1729" t="str">
        <f>I6</f>
        <v>/</v>
      </c>
      <c r="J36" s="1729" t="str">
        <f>J6</f>
        <v>/</v>
      </c>
      <c r="K36" s="1685" t="str">
        <f t="shared" ref="K36:L36" si="19">IF(K6=0,"",K6)</f>
        <v/>
      </c>
      <c r="L36" s="1686" t="str">
        <f t="shared" si="19"/>
        <v/>
      </c>
      <c r="N36" s="1680"/>
      <c r="Z36" s="1813"/>
      <c r="AA36" s="1813"/>
      <c r="AB36" s="1813"/>
      <c r="AG36" s="1050"/>
      <c r="AI36" s="258" t="s">
        <v>1770</v>
      </c>
      <c r="AJ36" s="781" t="s">
        <v>1822</v>
      </c>
      <c r="AK36" s="476" t="str">
        <f t="shared" si="1"/>
        <v>gem. Antrag</v>
      </c>
      <c r="AL36" s="1681"/>
      <c r="AM36" s="1682"/>
      <c r="AN36" s="476"/>
      <c r="AQ36" s="1050"/>
    </row>
    <row r="37" spans="1:43" s="1484" customFormat="1" ht="20" customHeight="1">
      <c r="A37" s="1827" t="str">
        <f>A7</f>
        <v>Struktur</v>
      </c>
      <c r="B37" s="1715"/>
      <c r="C37" s="1716"/>
      <c r="D37" s="1717"/>
      <c r="E37" s="1718"/>
      <c r="F37" s="1719"/>
      <c r="G37" s="1720"/>
      <c r="H37" s="1720"/>
      <c r="I37" s="1720"/>
      <c r="J37" s="1720"/>
      <c r="K37" s="1720"/>
      <c r="L37" s="1721"/>
      <c r="N37" s="1722"/>
      <c r="Z37" s="1810"/>
      <c r="AA37" s="1810"/>
      <c r="AB37" s="1810"/>
      <c r="AG37" s="1485"/>
      <c r="AI37" s="1723"/>
      <c r="AJ37" s="1724"/>
      <c r="AK37" s="1642" t="str">
        <f t="shared" ref="AK37" si="20">IF(AI37=0,"",IF($A$1="D",AI37,AJ37))</f>
        <v/>
      </c>
      <c r="AL37" s="1725"/>
      <c r="AM37" s="1726"/>
      <c r="AN37" s="1642" t="str">
        <f t="shared" ref="AN37" si="21">IF(AL37=0,"",IF($A$1="D",AL37,AM37))</f>
        <v/>
      </c>
      <c r="AQ37" s="1485"/>
    </row>
    <row r="38" spans="1:43" ht="20" customHeight="1">
      <c r="A38" s="1630"/>
      <c r="B38" s="1617" t="str">
        <f>B7</f>
        <v>Anzahl Betten</v>
      </c>
      <c r="C38" s="1507"/>
      <c r="D38" s="1498"/>
      <c r="E38" s="1511"/>
      <c r="F38" s="1517" t="str">
        <f t="shared" ref="F38:L39" si="22">IF(F7=0,"",F7)</f>
        <v/>
      </c>
      <c r="G38" s="1518" t="str">
        <f t="shared" si="22"/>
        <v/>
      </c>
      <c r="H38" s="1518" t="str">
        <f t="shared" si="22"/>
        <v/>
      </c>
      <c r="I38" s="1518" t="str">
        <f t="shared" si="22"/>
        <v/>
      </c>
      <c r="J38" s="1518" t="str">
        <f t="shared" si="22"/>
        <v/>
      </c>
      <c r="K38" s="1518" t="str">
        <f t="shared" si="22"/>
        <v/>
      </c>
      <c r="L38" s="1519" t="str">
        <f t="shared" si="22"/>
        <v/>
      </c>
      <c r="AI38" s="258"/>
      <c r="AJ38" s="781"/>
      <c r="AK38" s="362" t="str">
        <f t="shared" si="1"/>
        <v/>
      </c>
      <c r="AL38" s="1336"/>
      <c r="AM38" s="1332"/>
      <c r="AN38" s="362" t="str">
        <f t="shared" si="15"/>
        <v/>
      </c>
    </row>
    <row r="39" spans="1:43" ht="20" customHeight="1">
      <c r="A39" s="1619"/>
      <c r="B39" s="1617" t="str">
        <f>B8</f>
        <v>Gesamtnutzfläche, ganze Station</v>
      </c>
      <c r="C39" s="1497"/>
      <c r="D39" s="1498"/>
      <c r="E39" s="1511"/>
      <c r="F39" s="1517" t="str">
        <f t="shared" si="22"/>
        <v/>
      </c>
      <c r="G39" s="1518" t="str">
        <f t="shared" si="22"/>
        <v/>
      </c>
      <c r="H39" s="1518" t="str">
        <f t="shared" si="22"/>
        <v/>
      </c>
      <c r="I39" s="1518" t="str">
        <f t="shared" si="22"/>
        <v/>
      </c>
      <c r="J39" s="1518" t="str">
        <f t="shared" si="22"/>
        <v/>
      </c>
      <c r="K39" s="1518" t="str">
        <f t="shared" si="22"/>
        <v/>
      </c>
      <c r="L39" s="1519" t="str">
        <f t="shared" si="22"/>
        <v/>
      </c>
      <c r="AI39" s="258"/>
      <c r="AJ39" s="781"/>
      <c r="AK39" s="362"/>
      <c r="AL39" s="1336"/>
      <c r="AM39" s="1332"/>
      <c r="AN39" s="362"/>
    </row>
    <row r="40" spans="1:43" s="1343" customFormat="1" ht="20" customHeight="1" thickBot="1">
      <c r="A40" s="1620"/>
      <c r="B40" s="1500"/>
      <c r="C40" s="1505" t="str">
        <f>AK40</f>
        <v>Fläche pro Planbett</v>
      </c>
      <c r="D40" s="1509" t="s">
        <v>1655</v>
      </c>
      <c r="E40" s="1618">
        <v>40</v>
      </c>
      <c r="F40" s="1651" t="str">
        <f t="shared" ref="F40:L40" si="23">IF(F8=0,"",F39/F7)</f>
        <v/>
      </c>
      <c r="G40" s="1652" t="str">
        <f t="shared" si="23"/>
        <v/>
      </c>
      <c r="H40" s="1652" t="str">
        <f t="shared" si="23"/>
        <v/>
      </c>
      <c r="I40" s="1652" t="str">
        <f t="shared" si="23"/>
        <v/>
      </c>
      <c r="J40" s="1652" t="str">
        <f t="shared" si="23"/>
        <v/>
      </c>
      <c r="K40" s="1652" t="str">
        <f t="shared" si="23"/>
        <v/>
      </c>
      <c r="L40" s="1653" t="str">
        <f t="shared" si="23"/>
        <v/>
      </c>
      <c r="N40" s="1477"/>
      <c r="Z40" s="1809"/>
      <c r="AA40" s="1809"/>
      <c r="AB40" s="1809"/>
      <c r="AG40" s="1344"/>
      <c r="AI40" s="1345" t="s">
        <v>1783</v>
      </c>
      <c r="AJ40" s="1346" t="s">
        <v>497</v>
      </c>
      <c r="AK40" s="1347" t="str">
        <f>IF(AI40=0,"",IF($A$1="D",AI40,AJ40))</f>
        <v>Fläche pro Planbett</v>
      </c>
      <c r="AL40" s="1355"/>
      <c r="AM40" s="1356"/>
      <c r="AN40" s="1347"/>
      <c r="AQ40" s="1344"/>
    </row>
    <row r="41" spans="1:43" s="1484" customFormat="1" ht="20" customHeight="1">
      <c r="A41" s="1827" t="str">
        <f>A9</f>
        <v>Aktivität</v>
      </c>
      <c r="B41" s="1715"/>
      <c r="C41" s="1716"/>
      <c r="D41" s="1717"/>
      <c r="E41" s="1718"/>
      <c r="F41" s="1719"/>
      <c r="G41" s="1720"/>
      <c r="H41" s="1720"/>
      <c r="I41" s="1720"/>
      <c r="J41" s="1756" t="str">
        <f>AK41&amp;I2</f>
        <v>gem. Aktivität 1899</v>
      </c>
      <c r="K41" s="1720"/>
      <c r="L41" s="1721"/>
      <c r="N41" s="1722"/>
      <c r="Z41" s="1810"/>
      <c r="AA41" s="1810"/>
      <c r="AB41" s="1810"/>
      <c r="AG41" s="1485"/>
      <c r="AI41" s="1723" t="s">
        <v>1884</v>
      </c>
      <c r="AJ41" s="1724" t="s">
        <v>1883</v>
      </c>
      <c r="AK41" s="476" t="str">
        <f t="shared" ref="AK41:AK42" si="24">IF(AI41=0,"",IF($A$1="D",AI41,AJ41))</f>
        <v xml:space="preserve">gem. Aktivität </v>
      </c>
      <c r="AL41" s="1725"/>
      <c r="AM41" s="1726"/>
      <c r="AN41" s="1642" t="str">
        <f t="shared" ref="AN41" si="25">IF(AL41=0,"",IF($A$1="D",AL41,AM41))</f>
        <v/>
      </c>
      <c r="AQ41" s="1485"/>
    </row>
    <row r="42" spans="1:43" ht="20" customHeight="1">
      <c r="A42" s="1630"/>
      <c r="B42" s="1621" t="str">
        <f>B9</f>
        <v>Eintritte pro Jahr</v>
      </c>
      <c r="C42" s="1501"/>
      <c r="D42" s="1508"/>
      <c r="E42" s="1712"/>
      <c r="F42" s="1713" t="str">
        <f t="shared" ref="F42:L42" si="26">IF(F9=0,"",F9)</f>
        <v/>
      </c>
      <c r="G42" s="1713" t="str">
        <f t="shared" si="26"/>
        <v/>
      </c>
      <c r="H42" s="1713" t="str">
        <f t="shared" si="26"/>
        <v/>
      </c>
      <c r="I42" s="1713" t="str">
        <f t="shared" si="26"/>
        <v/>
      </c>
      <c r="J42" s="1713" t="str">
        <f t="shared" si="26"/>
        <v/>
      </c>
      <c r="K42" s="1713" t="str">
        <f t="shared" si="26"/>
        <v/>
      </c>
      <c r="L42" s="1714" t="str">
        <f t="shared" si="26"/>
        <v/>
      </c>
      <c r="AI42" s="258"/>
      <c r="AJ42" s="781"/>
      <c r="AK42" s="476" t="str">
        <f t="shared" si="24"/>
        <v/>
      </c>
      <c r="AL42" s="1336"/>
      <c r="AM42" s="1332"/>
      <c r="AN42" s="362"/>
    </row>
    <row r="43" spans="1:43" ht="20" customHeight="1">
      <c r="A43" s="1619"/>
      <c r="B43" s="1621" t="str">
        <f>B10</f>
        <v>Schichten pro Jahr</v>
      </c>
      <c r="C43" s="1501" t="str">
        <f>AN10</f>
        <v>Kategorie 1 A</v>
      </c>
      <c r="D43" s="1502"/>
      <c r="E43" s="1512"/>
      <c r="F43" s="1520" t="str">
        <f t="shared" ref="F43:L43" si="27">IF(F136&gt;0,"",F10)</f>
        <v/>
      </c>
      <c r="G43" s="1521">
        <f t="shared" si="27"/>
        <v>0</v>
      </c>
      <c r="H43" s="1521">
        <f t="shared" si="27"/>
        <v>0</v>
      </c>
      <c r="I43" s="1521">
        <f t="shared" si="27"/>
        <v>0</v>
      </c>
      <c r="J43" s="1521">
        <f t="shared" si="27"/>
        <v>0</v>
      </c>
      <c r="K43" s="1521">
        <f t="shared" si="27"/>
        <v>0</v>
      </c>
      <c r="L43" s="1522" t="str">
        <f t="shared" si="27"/>
        <v/>
      </c>
      <c r="AI43" s="258" t="s">
        <v>1652</v>
      </c>
      <c r="AJ43" s="781" t="s">
        <v>1790</v>
      </c>
      <c r="AK43" s="476" t="str">
        <f>IF(AI43=0,"",IF($A$1="D",AI43,AJ43))</f>
        <v>Schichten pro Jahr</v>
      </c>
      <c r="AL43" s="417"/>
      <c r="AM43" s="418"/>
      <c r="AN43" s="362" t="str">
        <f>IF(AL43=0,"",IF($A$1="D",AL43,AM43))</f>
        <v/>
      </c>
    </row>
    <row r="44" spans="1:43" ht="20" customHeight="1">
      <c r="A44" s="1619"/>
      <c r="B44" s="1496"/>
      <c r="C44" s="1501" t="str">
        <f>AN11</f>
        <v>Kategorie 1 B</v>
      </c>
      <c r="D44" s="1502"/>
      <c r="E44" s="1512"/>
      <c r="F44" s="1520" t="str">
        <f t="shared" ref="F44:L44" si="28">IF(F136&gt;0,"",F11)</f>
        <v/>
      </c>
      <c r="G44" s="1521">
        <f t="shared" si="28"/>
        <v>0</v>
      </c>
      <c r="H44" s="1521">
        <f t="shared" si="28"/>
        <v>0</v>
      </c>
      <c r="I44" s="1521">
        <f t="shared" si="28"/>
        <v>0</v>
      </c>
      <c r="J44" s="1521">
        <f t="shared" si="28"/>
        <v>0</v>
      </c>
      <c r="K44" s="1521">
        <f t="shared" si="28"/>
        <v>0</v>
      </c>
      <c r="L44" s="1522" t="str">
        <f t="shared" si="28"/>
        <v/>
      </c>
      <c r="AI44" s="258"/>
      <c r="AJ44" s="781"/>
      <c r="AK44" s="362" t="str">
        <f>IF(AI44=0,"",IF($A$1="D",AI44,AJ44))</f>
        <v/>
      </c>
      <c r="AL44" s="410"/>
      <c r="AM44" s="1178"/>
      <c r="AN44" s="362" t="str">
        <f>IF(AL44=0,"",IF($A$1="D",AL44,AM44))</f>
        <v/>
      </c>
    </row>
    <row r="45" spans="1:43" ht="20" customHeight="1">
      <c r="A45" s="1619"/>
      <c r="B45" s="1496"/>
      <c r="C45" s="1611" t="s">
        <v>1654</v>
      </c>
      <c r="D45" s="1611" t="s">
        <v>1655</v>
      </c>
      <c r="E45" s="1612">
        <v>0.15</v>
      </c>
      <c r="F45" s="1523" t="str">
        <f t="shared" ref="F45:L45" si="29">IF(F136&gt;0,"",(F43+F44)/F49)</f>
        <v/>
      </c>
      <c r="G45" s="1524" t="e">
        <f t="shared" si="29"/>
        <v>#DIV/0!</v>
      </c>
      <c r="H45" s="1524" t="e">
        <f t="shared" si="29"/>
        <v>#DIV/0!</v>
      </c>
      <c r="I45" s="1524" t="e">
        <f t="shared" si="29"/>
        <v>#DIV/0!</v>
      </c>
      <c r="J45" s="1524" t="e">
        <f t="shared" si="29"/>
        <v>#DIV/0!</v>
      </c>
      <c r="K45" s="1524" t="e">
        <f t="shared" si="29"/>
        <v>#DIV/0!</v>
      </c>
      <c r="L45" s="1525" t="str">
        <f t="shared" si="29"/>
        <v/>
      </c>
      <c r="AI45" s="258"/>
      <c r="AJ45" s="781"/>
      <c r="AK45" s="362"/>
      <c r="AL45" s="410"/>
      <c r="AM45" s="1178"/>
      <c r="AN45" s="362"/>
    </row>
    <row r="46" spans="1:43" ht="20" customHeight="1">
      <c r="A46" s="1630"/>
      <c r="B46" s="1496"/>
      <c r="C46" s="1501" t="str">
        <f>AN12</f>
        <v>Kategorie 2</v>
      </c>
      <c r="D46" s="1502"/>
      <c r="E46" s="1514"/>
      <c r="F46" s="1520" t="str">
        <f t="shared" ref="F46:L46" si="30">IF(F136&gt;0,"",F12)</f>
        <v/>
      </c>
      <c r="G46" s="1521">
        <f t="shared" si="30"/>
        <v>0</v>
      </c>
      <c r="H46" s="1521">
        <f t="shared" si="30"/>
        <v>0</v>
      </c>
      <c r="I46" s="1521">
        <f t="shared" si="30"/>
        <v>0</v>
      </c>
      <c r="J46" s="1521">
        <f t="shared" si="30"/>
        <v>0</v>
      </c>
      <c r="K46" s="1521">
        <f t="shared" si="30"/>
        <v>0</v>
      </c>
      <c r="L46" s="1522" t="str">
        <f t="shared" si="30"/>
        <v/>
      </c>
      <c r="AI46" s="258"/>
      <c r="AJ46" s="781"/>
      <c r="AK46" s="362" t="str">
        <f>IF(AI46=0,"",IF($A$1="D",AI46,AJ46))</f>
        <v/>
      </c>
      <c r="AL46" s="410"/>
      <c r="AM46" s="1178"/>
      <c r="AN46" s="362" t="str">
        <f>IF(AL46=0,"",IF($A$1="D",AL46,AM46))</f>
        <v/>
      </c>
    </row>
    <row r="47" spans="1:43" ht="20" customHeight="1">
      <c r="A47" s="1630"/>
      <c r="B47" s="1496"/>
      <c r="C47" s="1501" t="str">
        <f>AN13</f>
        <v>Kategorie 3</v>
      </c>
      <c r="D47" s="1502"/>
      <c r="E47" s="1512"/>
      <c r="F47" s="1520" t="str">
        <f t="shared" ref="F47:L47" si="31">IF(F136&gt;0,"",F13)</f>
        <v/>
      </c>
      <c r="G47" s="1521">
        <f t="shared" si="31"/>
        <v>0</v>
      </c>
      <c r="H47" s="1521">
        <f t="shared" si="31"/>
        <v>0</v>
      </c>
      <c r="I47" s="1521">
        <f t="shared" si="31"/>
        <v>0</v>
      </c>
      <c r="J47" s="1521">
        <f t="shared" si="31"/>
        <v>0</v>
      </c>
      <c r="K47" s="1521">
        <f t="shared" si="31"/>
        <v>0</v>
      </c>
      <c r="L47" s="1522" t="str">
        <f t="shared" si="31"/>
        <v/>
      </c>
      <c r="AI47" s="258"/>
      <c r="AJ47" s="781"/>
      <c r="AK47" s="362" t="str">
        <f>IF(AI47=0,"",IF($A$1="D",AI47,AJ47))</f>
        <v/>
      </c>
      <c r="AL47" s="410"/>
      <c r="AM47" s="1178"/>
      <c r="AN47" s="362" t="str">
        <f>IF(AL47=0,"",IF($A$1="D",AL47,AM47))</f>
        <v/>
      </c>
    </row>
    <row r="48" spans="1:43" ht="20" customHeight="1">
      <c r="A48" s="1630"/>
      <c r="B48" s="1496"/>
      <c r="C48" s="1508">
        <v>3</v>
      </c>
      <c r="D48" s="1508" t="s">
        <v>1656</v>
      </c>
      <c r="E48" s="1513">
        <v>0.3</v>
      </c>
      <c r="F48" s="1523" t="str">
        <f t="shared" ref="F48:L48" si="32">IF(F136&gt;0,"",F47/F49)</f>
        <v/>
      </c>
      <c r="G48" s="1524" t="e">
        <f t="shared" si="32"/>
        <v>#DIV/0!</v>
      </c>
      <c r="H48" s="1524" t="e">
        <f t="shared" si="32"/>
        <v>#DIV/0!</v>
      </c>
      <c r="I48" s="1524" t="e">
        <f t="shared" si="32"/>
        <v>#DIV/0!</v>
      </c>
      <c r="J48" s="1524" t="e">
        <f t="shared" si="32"/>
        <v>#DIV/0!</v>
      </c>
      <c r="K48" s="1524" t="e">
        <f t="shared" si="32"/>
        <v>#DIV/0!</v>
      </c>
      <c r="L48" s="1525" t="str">
        <f t="shared" si="32"/>
        <v/>
      </c>
      <c r="AI48" s="258"/>
      <c r="AJ48" s="781"/>
      <c r="AK48" s="362"/>
      <c r="AL48" s="410"/>
      <c r="AM48" s="1178"/>
      <c r="AN48" s="362"/>
    </row>
    <row r="49" spans="1:43" ht="20" customHeight="1">
      <c r="A49" s="1630"/>
      <c r="B49" s="1820" t="str">
        <f>AN49</f>
        <v>Total Schichten pro Jahr</v>
      </c>
      <c r="C49" s="1821"/>
      <c r="D49" s="1763"/>
      <c r="E49" s="1822"/>
      <c r="F49" s="1823" t="str">
        <f t="shared" ref="F49:L49" si="33">IF(F136&gt;0,"",F43+F44+F46+F47)</f>
        <v/>
      </c>
      <c r="G49" s="1823">
        <f t="shared" si="33"/>
        <v>0</v>
      </c>
      <c r="H49" s="1823">
        <f t="shared" si="33"/>
        <v>0</v>
      </c>
      <c r="I49" s="1823">
        <f t="shared" si="33"/>
        <v>0</v>
      </c>
      <c r="J49" s="1823">
        <f t="shared" si="33"/>
        <v>0</v>
      </c>
      <c r="K49" s="1823">
        <f t="shared" si="33"/>
        <v>0</v>
      </c>
      <c r="L49" s="1824" t="str">
        <f t="shared" si="33"/>
        <v/>
      </c>
      <c r="AI49" s="258"/>
      <c r="AJ49" s="781"/>
      <c r="AK49" s="362" t="str">
        <f>IF(AI49=0,"",IF($A$1="D",AI49,AJ49))</f>
        <v/>
      </c>
      <c r="AL49" s="410" t="str">
        <f>'1 ANTRAG-DEMANDE'!AD59</f>
        <v>Total Schichten pro Jahr</v>
      </c>
      <c r="AM49" s="410" t="str">
        <f>'1 ANTRAG-DEMANDE'!AE59</f>
        <v>Total Horaires par année</v>
      </c>
      <c r="AN49" s="362" t="str">
        <f>IF(AL49=0,"",IF($A$1="D",AL49,AM49))</f>
        <v>Total Schichten pro Jahr</v>
      </c>
    </row>
    <row r="50" spans="1:43" ht="20" customHeight="1">
      <c r="A50" s="1630"/>
      <c r="B50" s="1617" t="str">
        <f>AK50</f>
        <v>Pflegetage gemäss MDSi</v>
      </c>
      <c r="C50" s="1501"/>
      <c r="D50" s="1508" t="s">
        <v>1655</v>
      </c>
      <c r="E50" s="1515">
        <v>1300</v>
      </c>
      <c r="F50" s="1604" t="str">
        <f t="shared" ref="F50:L50" si="34">IF(F136&gt;0,"",F49/3)</f>
        <v/>
      </c>
      <c r="G50" s="1605">
        <f t="shared" si="34"/>
        <v>0</v>
      </c>
      <c r="H50" s="1605">
        <f t="shared" si="34"/>
        <v>0</v>
      </c>
      <c r="I50" s="1605">
        <f t="shared" si="34"/>
        <v>0</v>
      </c>
      <c r="J50" s="1605">
        <f t="shared" si="34"/>
        <v>0</v>
      </c>
      <c r="K50" s="1605">
        <f t="shared" si="34"/>
        <v>0</v>
      </c>
      <c r="L50" s="1606" t="str">
        <f t="shared" si="34"/>
        <v/>
      </c>
      <c r="AI50" s="258" t="s">
        <v>1612</v>
      </c>
      <c r="AJ50" s="781" t="s">
        <v>1784</v>
      </c>
      <c r="AK50" s="476" t="str">
        <f>IF(AI50=0,"",IF($A$1="D",AI50,AJ50))</f>
        <v>Pflegetage gemäss MDSi</v>
      </c>
      <c r="AL50" s="410"/>
      <c r="AM50" s="1178"/>
      <c r="AN50" s="362"/>
    </row>
    <row r="51" spans="1:43" s="1343" customFormat="1" ht="20" customHeight="1" thickBot="1">
      <c r="A51" s="1631"/>
      <c r="B51" s="1506" t="str">
        <f>AK51</f>
        <v>Belegung nach Schichten</v>
      </c>
      <c r="C51" s="1505"/>
      <c r="D51" s="1509" t="s">
        <v>1655</v>
      </c>
      <c r="E51" s="1516">
        <v>0.6</v>
      </c>
      <c r="F51" s="1538" t="str">
        <f t="shared" ref="F51:L51" si="35">IF(F136&gt;0,"",F49/(F7*365*3))</f>
        <v/>
      </c>
      <c r="G51" s="1539" t="e">
        <f t="shared" si="35"/>
        <v>#DIV/0!</v>
      </c>
      <c r="H51" s="1539" t="e">
        <f t="shared" si="35"/>
        <v>#DIV/0!</v>
      </c>
      <c r="I51" s="1539" t="e">
        <f t="shared" si="35"/>
        <v>#DIV/0!</v>
      </c>
      <c r="J51" s="1539" t="e">
        <f t="shared" si="35"/>
        <v>#DIV/0!</v>
      </c>
      <c r="K51" s="1539" t="e">
        <f t="shared" si="35"/>
        <v>#DIV/0!</v>
      </c>
      <c r="L51" s="1540" t="str">
        <f t="shared" si="35"/>
        <v/>
      </c>
      <c r="N51" s="1477"/>
      <c r="Z51" s="1809"/>
      <c r="AA51" s="1809"/>
      <c r="AB51" s="1809"/>
      <c r="AG51" s="1344"/>
      <c r="AI51" s="1345" t="s">
        <v>1121</v>
      </c>
      <c r="AJ51" s="1346" t="s">
        <v>1785</v>
      </c>
      <c r="AK51" s="1347" t="str">
        <f t="shared" ref="AK51:AK52" si="36">IF(AI51=0,"",IF($A$1="D",AI51,AJ51))</f>
        <v>Belegung nach Schichten</v>
      </c>
      <c r="AL51" s="1348"/>
      <c r="AM51" s="1349"/>
      <c r="AN51" s="1347"/>
      <c r="AQ51" s="1344"/>
    </row>
    <row r="52" spans="1:43" s="1484" customFormat="1" ht="20" customHeight="1">
      <c r="A52" s="1827" t="str">
        <f>A15</f>
        <v>Arbeitszeit Pflege</v>
      </c>
      <c r="B52" s="1715"/>
      <c r="C52" s="1716"/>
      <c r="D52" s="1717"/>
      <c r="E52" s="1733"/>
      <c r="F52" s="1719"/>
      <c r="G52" s="1720"/>
      <c r="H52" s="1720"/>
      <c r="I52" s="1720"/>
      <c r="J52" s="1720"/>
      <c r="K52" s="1720"/>
      <c r="L52" s="1721"/>
      <c r="N52" s="1722"/>
      <c r="Z52" s="1810"/>
      <c r="AA52" s="1810"/>
      <c r="AB52" s="1810"/>
      <c r="AG52" s="1485"/>
      <c r="AI52" s="1723"/>
      <c r="AJ52" s="1724"/>
      <c r="AK52" s="1642" t="str">
        <f t="shared" si="36"/>
        <v/>
      </c>
      <c r="AL52" s="1725"/>
      <c r="AM52" s="1726"/>
      <c r="AN52" s="1642" t="str">
        <f t="shared" ref="AN52" si="37">IF(AL52=0,"",IF($A$1="D",AL52,AM52))</f>
        <v/>
      </c>
      <c r="AQ52" s="1485"/>
    </row>
    <row r="53" spans="1:43" ht="20" customHeight="1">
      <c r="A53" s="1630"/>
      <c r="B53" s="1621" t="str">
        <f>B15</f>
        <v>Arbeitstage pro FTE pro Jahr</v>
      </c>
      <c r="C53" s="1501"/>
      <c r="D53" s="1502"/>
      <c r="E53" s="1514"/>
      <c r="F53" s="1532" t="str">
        <f>IF(COUNTBLANK(F15)=1,"",F15)</f>
        <v/>
      </c>
      <c r="G53" s="1532" t="str">
        <f>IF(COUNTBLANK(G15)=1,"",G15)</f>
        <v/>
      </c>
      <c r="H53" s="1532">
        <f t="shared" ref="H53:L53" si="38">IF(COUNTBLANK(H15)=1,"",H15)</f>
        <v>0</v>
      </c>
      <c r="I53" s="1532">
        <f t="shared" si="38"/>
        <v>0</v>
      </c>
      <c r="J53" s="1532">
        <f t="shared" si="38"/>
        <v>0</v>
      </c>
      <c r="K53" s="1532">
        <f t="shared" si="38"/>
        <v>0</v>
      </c>
      <c r="L53" s="1533" t="str">
        <f t="shared" si="38"/>
        <v/>
      </c>
      <c r="AI53" s="417" t="str">
        <f>'1 ANTRAG-DEMANDE'!AD127</f>
        <v>Arbeitsstunden pro Jahr</v>
      </c>
      <c r="AJ53" s="418" t="str">
        <f>'1 ANTRAG-DEMANDE'!AE127</f>
        <v>Nombre d'heures de travail par an</v>
      </c>
      <c r="AK53" s="362" t="str">
        <f t="shared" ref="AK53:AK71" si="39">IF(AI53=0,"",IF($A$1="D",AI53,AJ53))</f>
        <v>Arbeitsstunden pro Jahr</v>
      </c>
      <c r="AL53" s="1333"/>
      <c r="AM53" s="1334"/>
      <c r="AN53" s="362" t="str">
        <f t="shared" ref="AN53:AN77" si="40">IF(AL53=0,"",IF($A$1="D",AL53,AM53))</f>
        <v/>
      </c>
    </row>
    <row r="54" spans="1:43" ht="20" customHeight="1">
      <c r="A54" s="1630"/>
      <c r="B54" s="1621" t="str">
        <f>B16</f>
        <v>Arbeitszeit pro Tag</v>
      </c>
      <c r="C54" s="1501"/>
      <c r="D54" s="1502"/>
      <c r="E54" s="1514"/>
      <c r="F54" s="1532" t="str">
        <f>IF(COUNTBLANK(F16)=1,"",F16*24)</f>
        <v/>
      </c>
      <c r="G54" s="1532" t="str">
        <f t="shared" ref="G54:L57" si="41">IF(COUNTBLANK(G16)=1,"",G16*24)</f>
        <v/>
      </c>
      <c r="H54" s="1532">
        <f t="shared" si="41"/>
        <v>0</v>
      </c>
      <c r="I54" s="1532">
        <f t="shared" si="41"/>
        <v>0</v>
      </c>
      <c r="J54" s="1532">
        <f t="shared" si="41"/>
        <v>0</v>
      </c>
      <c r="K54" s="1532">
        <f t="shared" si="41"/>
        <v>0</v>
      </c>
      <c r="L54" s="1533" t="str">
        <f t="shared" si="41"/>
        <v/>
      </c>
      <c r="AI54" s="417"/>
      <c r="AJ54" s="418"/>
      <c r="AK54" s="362"/>
      <c r="AL54" s="1333"/>
      <c r="AM54" s="1334"/>
      <c r="AN54" s="362"/>
    </row>
    <row r="55" spans="1:43" ht="20" customHeight="1">
      <c r="A55" s="1632"/>
      <c r="B55" s="1761" t="str">
        <f>AK53</f>
        <v>Arbeitsstunden pro Jahr</v>
      </c>
      <c r="C55" s="1762"/>
      <c r="D55" s="1763"/>
      <c r="E55" s="1764"/>
      <c r="F55" s="1765" t="str">
        <f>IF(F137&gt;0,"",F15*F16*24)</f>
        <v/>
      </c>
      <c r="G55" s="1765" t="str">
        <f>IF(G137&gt;0,"",G15*G16*24)</f>
        <v/>
      </c>
      <c r="H55" s="1765">
        <f t="shared" ref="H55:L55" si="42">IF(H137&gt;0,"",H15*H16*24)</f>
        <v>0</v>
      </c>
      <c r="I55" s="1765">
        <f t="shared" si="42"/>
        <v>0</v>
      </c>
      <c r="J55" s="1765">
        <f t="shared" si="42"/>
        <v>0</v>
      </c>
      <c r="K55" s="1765">
        <f t="shared" si="42"/>
        <v>0</v>
      </c>
      <c r="L55" s="1766" t="str">
        <f t="shared" si="42"/>
        <v/>
      </c>
      <c r="AI55" s="258" t="s">
        <v>1754</v>
      </c>
      <c r="AJ55" s="781" t="s">
        <v>1755</v>
      </c>
      <c r="AK55" s="362" t="str">
        <f>IF(AI55=0,"",IF($A$1="D",AI55,AJ55))</f>
        <v>Arbeitstunden pro Tag</v>
      </c>
      <c r="AL55" s="1333"/>
      <c r="AM55" s="1334"/>
      <c r="AN55" s="362"/>
    </row>
    <row r="56" spans="1:43" ht="20" customHeight="1">
      <c r="A56" s="1632"/>
      <c r="B56" s="1621" t="str">
        <f>B18</f>
        <v>Zusatz für Schichtwechsel  pro Tag</v>
      </c>
      <c r="C56" s="1496"/>
      <c r="D56" s="1502"/>
      <c r="E56" s="1514"/>
      <c r="F56" s="1532" t="str">
        <f>IF(COUNTBLANK(F18)=1,"",F18*24)</f>
        <v/>
      </c>
      <c r="G56" s="1532" t="str">
        <f t="shared" si="41"/>
        <v/>
      </c>
      <c r="H56" s="1532">
        <f t="shared" si="41"/>
        <v>0</v>
      </c>
      <c r="I56" s="1532">
        <f t="shared" si="41"/>
        <v>0</v>
      </c>
      <c r="J56" s="1532">
        <f t="shared" si="41"/>
        <v>0</v>
      </c>
      <c r="K56" s="1532">
        <f t="shared" si="41"/>
        <v>0</v>
      </c>
      <c r="L56" s="1533" t="str">
        <f t="shared" si="41"/>
        <v/>
      </c>
      <c r="AI56" s="258"/>
      <c r="AJ56" s="781"/>
      <c r="AK56" s="362"/>
      <c r="AL56" s="1333"/>
      <c r="AM56" s="1334"/>
      <c r="AN56" s="362"/>
    </row>
    <row r="57" spans="1:43" ht="20" customHeight="1">
      <c r="A57" s="1632"/>
      <c r="B57" s="1621" t="str">
        <f>B19</f>
        <v>Zeitkompensation pro Spät-Nachtschicht (h)</v>
      </c>
      <c r="C57" s="1496"/>
      <c r="D57" s="1502"/>
      <c r="E57" s="1514"/>
      <c r="F57" s="1532" t="str">
        <f>IF(COUNTBLANK(F19)=1,"",F19*24)</f>
        <v/>
      </c>
      <c r="G57" s="1532" t="str">
        <f t="shared" si="41"/>
        <v/>
      </c>
      <c r="H57" s="1532">
        <f t="shared" si="41"/>
        <v>0</v>
      </c>
      <c r="I57" s="1532">
        <f t="shared" si="41"/>
        <v>0</v>
      </c>
      <c r="J57" s="1532">
        <f t="shared" si="41"/>
        <v>0</v>
      </c>
      <c r="K57" s="1532">
        <f t="shared" si="41"/>
        <v>0</v>
      </c>
      <c r="L57" s="1533" t="str">
        <f t="shared" si="41"/>
        <v/>
      </c>
      <c r="AI57" s="258"/>
      <c r="AJ57" s="781"/>
      <c r="AK57" s="362"/>
      <c r="AL57" s="1333"/>
      <c r="AM57" s="1334"/>
      <c r="AN57" s="362"/>
    </row>
    <row r="58" spans="1:43" s="1343" customFormat="1" ht="20" customHeight="1" thickBot="1">
      <c r="A58" s="1634"/>
      <c r="B58" s="1767" t="str">
        <f>AK58</f>
        <v>Stundenbedarf für eine 24h-Präsenz</v>
      </c>
      <c r="C58" s="1768"/>
      <c r="D58" s="1769"/>
      <c r="E58" s="1770"/>
      <c r="F58" s="1771" t="str">
        <f t="shared" ref="F58:L58" si="43">IF(F137&gt;0,"",(F18+F19)*24+24)</f>
        <v/>
      </c>
      <c r="G58" s="1772" t="str">
        <f t="shared" si="43"/>
        <v/>
      </c>
      <c r="H58" s="1772">
        <f t="shared" si="43"/>
        <v>24</v>
      </c>
      <c r="I58" s="1772">
        <f t="shared" si="43"/>
        <v>24</v>
      </c>
      <c r="J58" s="1772">
        <f t="shared" si="43"/>
        <v>24</v>
      </c>
      <c r="K58" s="1772">
        <f t="shared" si="43"/>
        <v>24</v>
      </c>
      <c r="L58" s="1773" t="str">
        <f t="shared" si="43"/>
        <v/>
      </c>
      <c r="N58" s="1477"/>
      <c r="Z58" s="1809"/>
      <c r="AA58" s="1809"/>
      <c r="AB58" s="1809"/>
      <c r="AG58" s="1344"/>
      <c r="AI58" s="1365" t="str">
        <f>'1 ANTRAG-DEMANDE'!AD132</f>
        <v>Stundenbedarf für eine 24h-Präsenz</v>
      </c>
      <c r="AJ58" s="1366" t="str">
        <f>'1 ANTRAG-DEMANDE'!AE132</f>
        <v>Besoin d'heures pour une présence 24h</v>
      </c>
      <c r="AK58" s="1347" t="str">
        <f t="shared" si="39"/>
        <v>Stundenbedarf für eine 24h-Präsenz</v>
      </c>
      <c r="AL58" s="1367"/>
      <c r="AM58" s="1368"/>
      <c r="AN58" s="1347" t="str">
        <f t="shared" si="40"/>
        <v/>
      </c>
      <c r="AQ58" s="1344"/>
    </row>
    <row r="59" spans="1:43" s="1484" customFormat="1" ht="20" customHeight="1" thickBot="1">
      <c r="A59" s="1827" t="str">
        <f>AN59</f>
        <v>Pflegebedarf nach Schichten</v>
      </c>
      <c r="B59" s="1715"/>
      <c r="C59" s="1716"/>
      <c r="D59" s="1717"/>
      <c r="E59" s="1718"/>
      <c r="F59" s="1719"/>
      <c r="G59" s="1720"/>
      <c r="H59" s="1720"/>
      <c r="I59" s="1720"/>
      <c r="J59" s="1720"/>
      <c r="K59" s="1720"/>
      <c r="L59" s="1721"/>
      <c r="N59" s="1722"/>
      <c r="Z59" s="1810"/>
      <c r="AA59" s="1810"/>
      <c r="AB59" s="1810"/>
      <c r="AG59" s="1485"/>
      <c r="AI59" s="1723"/>
      <c r="AJ59" s="1724"/>
      <c r="AK59" s="1642" t="str">
        <f t="shared" si="39"/>
        <v/>
      </c>
      <c r="AL59" s="400" t="s">
        <v>1743</v>
      </c>
      <c r="AM59" s="401" t="s">
        <v>1782</v>
      </c>
      <c r="AN59" s="362" t="str">
        <f>IF(AL59=0,"",IF($A$1="D",AL59,AM59))</f>
        <v>Pflegebedarf nach Schichten</v>
      </c>
      <c r="AQ59" s="1485"/>
    </row>
    <row r="60" spans="1:43" ht="20" customHeight="1">
      <c r="A60" s="1643"/>
      <c r="B60" s="1774" t="str">
        <f>C43</f>
        <v>Kategorie 1 A</v>
      </c>
      <c r="C60" s="1774" t="str">
        <f>AK60</f>
        <v>Stellen (FTE)</v>
      </c>
      <c r="D60" s="1775"/>
      <c r="E60" s="1776">
        <v>1.33</v>
      </c>
      <c r="F60" s="1777" t="str">
        <f t="shared" ref="F60:L61" si="44">IF(F$141&gt;0,"",F43/3*$E60*F$58/F$55)</f>
        <v/>
      </c>
      <c r="G60" s="1778" t="str">
        <f t="shared" si="44"/>
        <v/>
      </c>
      <c r="H60" s="1778" t="e">
        <f t="shared" si="44"/>
        <v>#DIV/0!</v>
      </c>
      <c r="I60" s="1778" t="e">
        <f t="shared" si="44"/>
        <v>#DIV/0!</v>
      </c>
      <c r="J60" s="1778" t="e">
        <f t="shared" si="44"/>
        <v>#DIV/0!</v>
      </c>
      <c r="K60" s="1778" t="e">
        <f t="shared" si="44"/>
        <v>#DIV/0!</v>
      </c>
      <c r="L60" s="1536" t="str">
        <f t="shared" si="44"/>
        <v/>
      </c>
      <c r="AI60" s="400" t="s">
        <v>1794</v>
      </c>
      <c r="AJ60" s="401" t="s">
        <v>1795</v>
      </c>
      <c r="AK60" s="1642" t="str">
        <f>IF(AI60=0,"",IF($A$1="D",AI60,AJ60))</f>
        <v>Stellen (FTE)</v>
      </c>
    </row>
    <row r="61" spans="1:43" ht="20" customHeight="1">
      <c r="A61" s="1635"/>
      <c r="B61" s="1774" t="str">
        <f>C44</f>
        <v>Kategorie 1 B</v>
      </c>
      <c r="C61" s="1774"/>
      <c r="D61" s="1775"/>
      <c r="E61" s="1776">
        <v>1</v>
      </c>
      <c r="F61" s="1777" t="str">
        <f t="shared" si="44"/>
        <v/>
      </c>
      <c r="G61" s="1778" t="str">
        <f t="shared" si="44"/>
        <v/>
      </c>
      <c r="H61" s="1778" t="e">
        <f t="shared" si="44"/>
        <v>#DIV/0!</v>
      </c>
      <c r="I61" s="1778" t="e">
        <f t="shared" si="44"/>
        <v>#DIV/0!</v>
      </c>
      <c r="J61" s="1778" t="e">
        <f t="shared" si="44"/>
        <v>#DIV/0!</v>
      </c>
      <c r="K61" s="1778" t="e">
        <f t="shared" si="44"/>
        <v>#DIV/0!</v>
      </c>
      <c r="L61" s="1536" t="str">
        <f t="shared" si="44"/>
        <v/>
      </c>
      <c r="AI61" s="400"/>
      <c r="AJ61" s="401"/>
      <c r="AK61" s="362"/>
      <c r="AL61" s="400"/>
      <c r="AM61" s="401"/>
      <c r="AN61" s="362"/>
    </row>
    <row r="62" spans="1:43" ht="20" customHeight="1">
      <c r="A62" s="1635"/>
      <c r="B62" s="1774" t="str">
        <f>C46</f>
        <v>Kategorie 2</v>
      </c>
      <c r="C62" s="1774"/>
      <c r="D62" s="1775"/>
      <c r="E62" s="1776">
        <v>0.67</v>
      </c>
      <c r="F62" s="1777" t="str">
        <f t="shared" ref="F62:L63" si="45">IF(F$141&gt;0,"",F46/3*$E62*F$58/F$55)</f>
        <v/>
      </c>
      <c r="G62" s="1778" t="str">
        <f t="shared" si="45"/>
        <v/>
      </c>
      <c r="H62" s="1778" t="e">
        <f t="shared" si="45"/>
        <v>#DIV/0!</v>
      </c>
      <c r="I62" s="1778" t="e">
        <f t="shared" si="45"/>
        <v>#DIV/0!</v>
      </c>
      <c r="J62" s="1778" t="e">
        <f t="shared" si="45"/>
        <v>#DIV/0!</v>
      </c>
      <c r="K62" s="1778" t="e">
        <f t="shared" si="45"/>
        <v>#DIV/0!</v>
      </c>
      <c r="L62" s="1536" t="str">
        <f t="shared" si="45"/>
        <v/>
      </c>
      <c r="AI62" s="400"/>
      <c r="AJ62" s="401"/>
      <c r="AK62" s="362"/>
      <c r="AL62" s="400"/>
      <c r="AM62" s="401"/>
      <c r="AN62" s="362"/>
    </row>
    <row r="63" spans="1:43" ht="20" customHeight="1">
      <c r="A63" s="1635"/>
      <c r="B63" s="1774" t="str">
        <f>C47</f>
        <v>Kategorie 3</v>
      </c>
      <c r="C63" s="1774"/>
      <c r="D63" s="1775"/>
      <c r="E63" s="1776">
        <v>0.33</v>
      </c>
      <c r="F63" s="1777" t="str">
        <f t="shared" si="45"/>
        <v/>
      </c>
      <c r="G63" s="1778" t="str">
        <f t="shared" si="45"/>
        <v/>
      </c>
      <c r="H63" s="1778" t="e">
        <f t="shared" si="45"/>
        <v>#DIV/0!</v>
      </c>
      <c r="I63" s="1778" t="e">
        <f t="shared" si="45"/>
        <v>#DIV/0!</v>
      </c>
      <c r="J63" s="1778" t="e">
        <f t="shared" si="45"/>
        <v>#DIV/0!</v>
      </c>
      <c r="K63" s="1778" t="e">
        <f t="shared" si="45"/>
        <v>#DIV/0!</v>
      </c>
      <c r="L63" s="1536" t="str">
        <f t="shared" si="45"/>
        <v/>
      </c>
      <c r="AI63" s="400"/>
      <c r="AJ63" s="401"/>
      <c r="AK63" s="362"/>
      <c r="AL63" s="400"/>
      <c r="AM63" s="401"/>
      <c r="AN63" s="362"/>
    </row>
    <row r="64" spans="1:43" s="1343" customFormat="1" ht="20" customHeight="1" thickBot="1">
      <c r="A64" s="1634"/>
      <c r="B64" s="1767" t="str">
        <f>AK64</f>
        <v>Stellenbedarf, total am Bett (FTE)</v>
      </c>
      <c r="C64" s="1779"/>
      <c r="D64" s="1780"/>
      <c r="E64" s="1781"/>
      <c r="F64" s="1782" t="str">
        <f t="shared" ref="F64:L64" si="46">IF(F136&gt;0,"",SUM(F60:F63))</f>
        <v/>
      </c>
      <c r="G64" s="1783">
        <f t="shared" si="46"/>
        <v>0</v>
      </c>
      <c r="H64" s="1783" t="e">
        <f t="shared" si="46"/>
        <v>#DIV/0!</v>
      </c>
      <c r="I64" s="1783" t="e">
        <f t="shared" si="46"/>
        <v>#DIV/0!</v>
      </c>
      <c r="J64" s="1783" t="e">
        <f t="shared" si="46"/>
        <v>#DIV/0!</v>
      </c>
      <c r="K64" s="1783" t="e">
        <f t="shared" si="46"/>
        <v>#DIV/0!</v>
      </c>
      <c r="L64" s="1537" t="str">
        <f t="shared" si="46"/>
        <v/>
      </c>
      <c r="N64" s="1477"/>
      <c r="Z64" s="1809"/>
      <c r="AA64" s="1809"/>
      <c r="AB64" s="1809"/>
      <c r="AG64" s="1344"/>
      <c r="AI64" s="1442" t="s">
        <v>1800</v>
      </c>
      <c r="AJ64" s="1443" t="s">
        <v>1801</v>
      </c>
      <c r="AK64" s="362" t="str">
        <f t="shared" si="39"/>
        <v>Stellenbedarf, total am Bett (FTE)</v>
      </c>
      <c r="AL64" s="1442"/>
      <c r="AM64" s="1443"/>
      <c r="AN64" s="1347"/>
      <c r="AQ64" s="1344"/>
    </row>
    <row r="65" spans="1:43" s="1484" customFormat="1" ht="20" customHeight="1">
      <c r="A65" s="1827" t="str">
        <f>A26</f>
        <v>Pflege NICHT am Bett</v>
      </c>
      <c r="B65" s="1715"/>
      <c r="C65" s="1716"/>
      <c r="D65" s="1717"/>
      <c r="E65" s="1718"/>
      <c r="F65" s="1719"/>
      <c r="G65" s="1720"/>
      <c r="H65" s="1720"/>
      <c r="I65" s="1720"/>
      <c r="J65" s="1720"/>
      <c r="K65" s="1720"/>
      <c r="L65" s="1721"/>
      <c r="N65" s="1722"/>
      <c r="Z65" s="1810"/>
      <c r="AA65" s="1810"/>
      <c r="AB65" s="1810"/>
      <c r="AG65" s="1485"/>
      <c r="AI65" s="1723"/>
      <c r="AJ65" s="1724"/>
      <c r="AK65" s="1642" t="str">
        <f t="shared" ref="AK65" si="47">IF(AI65=0,"",IF($A$1="D",AI65,AJ65))</f>
        <v/>
      </c>
      <c r="AL65" s="1725"/>
      <c r="AM65" s="1726"/>
      <c r="AN65" s="1642" t="str">
        <f t="shared" ref="AN65" si="48">IF(AL65=0,"",IF($A$1="D",AL65,AM65))</f>
        <v/>
      </c>
      <c r="AQ65" s="1485"/>
    </row>
    <row r="66" spans="1:43" ht="20" customHeight="1">
      <c r="A66" s="1630"/>
      <c r="B66" s="1621" t="str">
        <f>AK66</f>
        <v>Total, nicht am Patientenbett (FTE)</v>
      </c>
      <c r="C66" s="1507"/>
      <c r="D66" s="1498"/>
      <c r="E66" s="1511"/>
      <c r="F66" s="1534" t="str">
        <f t="shared" ref="F66:L66" si="49">IF(F139&gt;0,"",SUM(F26:F29))</f>
        <v/>
      </c>
      <c r="G66" s="1535" t="str">
        <f t="shared" si="49"/>
        <v/>
      </c>
      <c r="H66" s="1535">
        <f t="shared" si="49"/>
        <v>0</v>
      </c>
      <c r="I66" s="1535">
        <f t="shared" si="49"/>
        <v>0</v>
      </c>
      <c r="J66" s="1535">
        <f t="shared" si="49"/>
        <v>0</v>
      </c>
      <c r="K66" s="1535">
        <f t="shared" si="49"/>
        <v>0</v>
      </c>
      <c r="L66" s="1536" t="str">
        <f t="shared" si="49"/>
        <v/>
      </c>
      <c r="AI66" s="417" t="str">
        <f>'1 ANTRAG-DEMANDE'!AD139</f>
        <v>Total, nicht am Patientenbett (FTE)</v>
      </c>
      <c r="AJ66" s="418" t="str">
        <f>'1 ANTRAG-DEMANDE'!AE139</f>
        <v>Dotation totale soignante hors clinique (ETP)</v>
      </c>
      <c r="AK66" s="476" t="str">
        <f>IF(AI66=0,"",IF($A$1="D",AI66,AJ66))</f>
        <v>Total, nicht am Patientenbett (FTE)</v>
      </c>
      <c r="AL66" s="1335"/>
      <c r="AM66" s="1334"/>
      <c r="AN66" s="362" t="str">
        <f>IF(AL66=0,"",IF($A$1="D",AL66,AM66))</f>
        <v/>
      </c>
    </row>
    <row r="67" spans="1:43" ht="20" customHeight="1">
      <c r="A67" s="1636"/>
      <c r="B67" s="1621" t="str">
        <f>B26</f>
        <v>Führungsverantwortliche / Management</v>
      </c>
      <c r="C67" s="1507" t="str">
        <f>AK$88</f>
        <v>Stand</v>
      </c>
      <c r="D67" s="1502"/>
      <c r="E67" s="1512"/>
      <c r="F67" s="1534" t="str">
        <f t="shared" ref="F67:L67" si="50">IF(COUNTBLANK(F26)=1,"",F26)</f>
        <v/>
      </c>
      <c r="G67" s="1535" t="str">
        <f t="shared" si="50"/>
        <v/>
      </c>
      <c r="H67" s="1535">
        <f t="shared" si="50"/>
        <v>0</v>
      </c>
      <c r="I67" s="1535">
        <f t="shared" si="50"/>
        <v>0</v>
      </c>
      <c r="J67" s="1535">
        <f t="shared" si="50"/>
        <v>0</v>
      </c>
      <c r="K67" s="1535">
        <f t="shared" si="50"/>
        <v>0</v>
      </c>
      <c r="L67" s="1536" t="str">
        <f t="shared" si="50"/>
        <v/>
      </c>
      <c r="AI67" s="1333" t="s">
        <v>999</v>
      </c>
      <c r="AJ67" s="1332" t="s">
        <v>1319</v>
      </c>
      <c r="AK67" s="362" t="str">
        <f t="shared" si="39"/>
        <v>Visitation  Excel</v>
      </c>
      <c r="AL67" s="1333" t="s">
        <v>1017</v>
      </c>
      <c r="AM67" s="1332" t="s">
        <v>1016</v>
      </c>
      <c r="AN67" s="362" t="str">
        <f t="shared" si="40"/>
        <v>VISITATION</v>
      </c>
    </row>
    <row r="68" spans="1:43" ht="20" customHeight="1">
      <c r="A68" s="1635"/>
      <c r="B68" s="1621"/>
      <c r="C68" s="1784" t="str">
        <f>AK$89</f>
        <v>Minimum, gefordert</v>
      </c>
      <c r="D68" s="1508"/>
      <c r="E68" s="1785"/>
      <c r="F68" s="1786" t="str">
        <f t="shared" ref="F68:L68" si="51">IF(COUNTBLANK(F26)+COUNTBLANK(F7)&gt;0,"",0.8+(F7-6)*0.1)</f>
        <v/>
      </c>
      <c r="G68" s="1787" t="str">
        <f t="shared" si="51"/>
        <v/>
      </c>
      <c r="H68" s="1787">
        <f t="shared" si="51"/>
        <v>0.19999999999999996</v>
      </c>
      <c r="I68" s="1787">
        <f t="shared" si="51"/>
        <v>0.19999999999999996</v>
      </c>
      <c r="J68" s="1787">
        <f t="shared" si="51"/>
        <v>0.19999999999999996</v>
      </c>
      <c r="K68" s="1787">
        <f t="shared" si="51"/>
        <v>0.19999999999999996</v>
      </c>
      <c r="L68" s="1788" t="str">
        <f t="shared" si="51"/>
        <v/>
      </c>
      <c r="AI68" s="1333" t="s">
        <v>1000</v>
      </c>
      <c r="AJ68" s="1332" t="s">
        <v>1320</v>
      </c>
      <c r="AK68" s="362" t="str">
        <f t="shared" si="39"/>
        <v>Visitation Kompletter Bericht</v>
      </c>
      <c r="AL68" s="1333" t="s">
        <v>1006</v>
      </c>
      <c r="AM68" s="1332" t="s">
        <v>1018</v>
      </c>
      <c r="AN68" s="362" t="str">
        <f t="shared" si="40"/>
        <v>VisitationBerichtKomplett</v>
      </c>
    </row>
    <row r="69" spans="1:43" ht="20" customHeight="1">
      <c r="A69" s="1635"/>
      <c r="B69" s="1621"/>
      <c r="C69" s="1508" t="str">
        <f>AK$90</f>
        <v>% erfüllt</v>
      </c>
      <c r="D69" s="1508" t="s">
        <v>1655</v>
      </c>
      <c r="E69" s="1513">
        <v>1</v>
      </c>
      <c r="F69" s="1523" t="str">
        <f t="shared" ref="F69:L69" si="52">IF(COUNTBLANK(F26)+COUNTBLANK(F7)&gt;0,"",F67/F68)</f>
        <v/>
      </c>
      <c r="G69" s="1524" t="str">
        <f t="shared" si="52"/>
        <v/>
      </c>
      <c r="H69" s="1524">
        <f t="shared" si="52"/>
        <v>0</v>
      </c>
      <c r="I69" s="1524">
        <f t="shared" si="52"/>
        <v>0</v>
      </c>
      <c r="J69" s="1524">
        <f t="shared" si="52"/>
        <v>0</v>
      </c>
      <c r="K69" s="1524">
        <f t="shared" si="52"/>
        <v>0</v>
      </c>
      <c r="L69" s="1525" t="str">
        <f t="shared" si="52"/>
        <v/>
      </c>
      <c r="AI69" s="1335" t="s">
        <v>1001</v>
      </c>
      <c r="AJ69" s="1332" t="s">
        <v>1321</v>
      </c>
      <c r="AK69" s="362" t="str">
        <f t="shared" si="39"/>
        <v>Visitation Kurzer Bericht</v>
      </c>
      <c r="AL69" s="1335" t="s">
        <v>1007</v>
      </c>
      <c r="AM69" s="1332" t="s">
        <v>1019</v>
      </c>
      <c r="AN69" s="362" t="str">
        <f t="shared" si="40"/>
        <v>VisitationBerichtKurz</v>
      </c>
    </row>
    <row r="70" spans="1:43" ht="20" customHeight="1">
      <c r="A70" s="1635"/>
      <c r="B70" s="1621" t="str">
        <f>B28</f>
        <v>Berufsbildner, Kliniklehrer</v>
      </c>
      <c r="C70" s="1507" t="str">
        <f>AK$88</f>
        <v>Stand</v>
      </c>
      <c r="D70" s="1498"/>
      <c r="E70" s="1511"/>
      <c r="F70" s="1534" t="str">
        <f t="shared" ref="F70:L70" si="53">IF(COUNTBLANK(F28)=1,"",F28)</f>
        <v/>
      </c>
      <c r="G70" s="1535" t="str">
        <f t="shared" si="53"/>
        <v/>
      </c>
      <c r="H70" s="1535">
        <f t="shared" si="53"/>
        <v>0</v>
      </c>
      <c r="I70" s="1535">
        <f t="shared" si="53"/>
        <v>0</v>
      </c>
      <c r="J70" s="1535">
        <f t="shared" si="53"/>
        <v>0</v>
      </c>
      <c r="K70" s="1535">
        <f t="shared" si="53"/>
        <v>0</v>
      </c>
      <c r="L70" s="1536" t="str">
        <f t="shared" si="53"/>
        <v/>
      </c>
      <c r="AI70" s="221"/>
      <c r="AJ70" s="347"/>
      <c r="AK70" s="362" t="str">
        <f t="shared" si="39"/>
        <v/>
      </c>
      <c r="AN70" s="362" t="str">
        <f t="shared" si="40"/>
        <v/>
      </c>
    </row>
    <row r="71" spans="1:43" ht="20" customHeight="1">
      <c r="A71" s="1635"/>
      <c r="B71" s="1621"/>
      <c r="C71" s="1784" t="str">
        <f>AK$71</f>
        <v>Empfohlen</v>
      </c>
      <c r="D71" s="1789"/>
      <c r="E71" s="1790"/>
      <c r="F71" s="1786" t="str">
        <f t="shared" ref="F71:L71" si="54">IF(COUNTBLANK(F23)+COUNTBLANK(F28)&gt;0,"",0.15*F23)</f>
        <v/>
      </c>
      <c r="G71" s="1787" t="str">
        <f t="shared" si="54"/>
        <v/>
      </c>
      <c r="H71" s="1787">
        <f t="shared" si="54"/>
        <v>0</v>
      </c>
      <c r="I71" s="1787">
        <f t="shared" si="54"/>
        <v>0</v>
      </c>
      <c r="J71" s="1787">
        <f t="shared" si="54"/>
        <v>0</v>
      </c>
      <c r="K71" s="1787">
        <f t="shared" si="54"/>
        <v>0</v>
      </c>
      <c r="L71" s="1788" t="str">
        <f t="shared" si="54"/>
        <v/>
      </c>
      <c r="AI71" s="221" t="s">
        <v>1885</v>
      </c>
      <c r="AJ71" s="347" t="s">
        <v>1886</v>
      </c>
      <c r="AK71" s="362" t="str">
        <f t="shared" si="39"/>
        <v>Empfohlen</v>
      </c>
      <c r="AL71" s="468"/>
      <c r="AM71" s="469"/>
      <c r="AN71" s="362" t="str">
        <f t="shared" si="40"/>
        <v/>
      </c>
    </row>
    <row r="72" spans="1:43" s="1343" customFormat="1" ht="20" customHeight="1" thickBot="1">
      <c r="A72" s="1791"/>
      <c r="B72" s="1622"/>
      <c r="C72" s="1509" t="str">
        <f>AK$90</f>
        <v>% erfüllt</v>
      </c>
      <c r="D72" s="1509"/>
      <c r="E72" s="1516"/>
      <c r="F72" s="1526" t="str">
        <f t="shared" ref="F72:L72" si="55">IF(COUNTBLANK(F23)+COUNTBLANK(F28)&gt;0,"",F70/F71)</f>
        <v/>
      </c>
      <c r="G72" s="1527" t="str">
        <f t="shared" si="55"/>
        <v/>
      </c>
      <c r="H72" s="1527" t="e">
        <f t="shared" si="55"/>
        <v>#DIV/0!</v>
      </c>
      <c r="I72" s="1527" t="e">
        <f t="shared" si="55"/>
        <v>#DIV/0!</v>
      </c>
      <c r="J72" s="1527" t="e">
        <f t="shared" si="55"/>
        <v>#DIV/0!</v>
      </c>
      <c r="K72" s="1527" t="e">
        <f t="shared" si="55"/>
        <v>#DIV/0!</v>
      </c>
      <c r="L72" s="1528" t="str">
        <f t="shared" si="55"/>
        <v/>
      </c>
      <c r="N72" s="1477"/>
      <c r="Z72" s="1809"/>
      <c r="AA72" s="1809"/>
      <c r="AB72" s="1809"/>
      <c r="AG72" s="1344"/>
      <c r="AI72" s="1440"/>
      <c r="AJ72" s="1441"/>
      <c r="AK72" s="1347"/>
      <c r="AL72" s="1440"/>
      <c r="AM72" s="1441"/>
      <c r="AN72" s="1347" t="str">
        <f t="shared" si="40"/>
        <v/>
      </c>
      <c r="AQ72" s="1344"/>
    </row>
    <row r="73" spans="1:43" s="1484" customFormat="1" ht="20" customHeight="1">
      <c r="A73" s="1827" t="str">
        <f>A20</f>
        <v>Pflege am Bett</v>
      </c>
      <c r="B73" s="1715"/>
      <c r="C73" s="1716"/>
      <c r="D73" s="1717"/>
      <c r="E73" s="1718"/>
      <c r="F73" s="1719"/>
      <c r="G73" s="1720"/>
      <c r="H73" s="1720"/>
      <c r="I73" s="1720"/>
      <c r="J73" s="1720"/>
      <c r="K73" s="1720"/>
      <c r="L73" s="1721"/>
      <c r="N73" s="1722"/>
      <c r="Z73" s="1810"/>
      <c r="AA73" s="1810"/>
      <c r="AB73" s="1810"/>
      <c r="AG73" s="1485"/>
      <c r="AI73" s="1723"/>
      <c r="AJ73" s="1724"/>
      <c r="AK73" s="1642" t="str">
        <f t="shared" ref="AK73" si="56">IF(AI73=0,"",IF($A$1="D",AI73,AJ73))</f>
        <v/>
      </c>
      <c r="AL73" s="1725"/>
      <c r="AM73" s="1726"/>
      <c r="AN73" s="1642" t="str">
        <f t="shared" si="40"/>
        <v/>
      </c>
      <c r="AQ73" s="1485"/>
    </row>
    <row r="74" spans="1:43" ht="33" customHeight="1">
      <c r="A74" s="1630"/>
      <c r="B74" s="1621" t="str">
        <f>AK74</f>
        <v>Experten Intensivpflege  (CH + anerkannte Equivalenzen)</v>
      </c>
      <c r="C74" s="1507" t="str">
        <f>AK$88</f>
        <v>Stand</v>
      </c>
      <c r="D74" s="1498"/>
      <c r="E74" s="1511"/>
      <c r="F74" s="1541" t="str">
        <f t="shared" ref="F74:L74" si="57">IF(F138&gt;0,"",F20+F21)</f>
        <v/>
      </c>
      <c r="G74" s="1542" t="str">
        <f t="shared" si="57"/>
        <v/>
      </c>
      <c r="H74" s="1542">
        <f t="shared" si="57"/>
        <v>0</v>
      </c>
      <c r="I74" s="1542">
        <f t="shared" si="57"/>
        <v>0</v>
      </c>
      <c r="J74" s="1542">
        <f t="shared" si="57"/>
        <v>0</v>
      </c>
      <c r="K74" s="1542">
        <f t="shared" si="57"/>
        <v>0</v>
      </c>
      <c r="L74" s="1543" t="str">
        <f t="shared" si="57"/>
        <v/>
      </c>
      <c r="AI74" s="221" t="s">
        <v>1798</v>
      </c>
      <c r="AJ74" s="347" t="s">
        <v>1741</v>
      </c>
      <c r="AK74" s="362" t="str">
        <f t="shared" ref="AK74:AK81" si="58">IF(AI74=0,"",IF($A$1="D",AI74,AJ74))</f>
        <v>Experten Intensivpflege  (CH + anerkannte Equivalenzen)</v>
      </c>
      <c r="AL74" s="221"/>
      <c r="AM74" s="347"/>
      <c r="AN74" s="362" t="str">
        <f t="shared" si="40"/>
        <v/>
      </c>
    </row>
    <row r="75" spans="1:43" ht="20" customHeight="1">
      <c r="A75" s="1635"/>
      <c r="B75" s="1621"/>
      <c r="C75" s="1784" t="str">
        <f>AK$89</f>
        <v>Minimum, gefordert</v>
      </c>
      <c r="D75" s="1789"/>
      <c r="E75" s="1790"/>
      <c r="F75" s="1786" t="str">
        <f t="shared" ref="F75:L75" si="59">IF(F138&gt;0,"",IF(F64/3&lt;6,6,F64/3))</f>
        <v/>
      </c>
      <c r="G75" s="1787" t="str">
        <f t="shared" si="59"/>
        <v/>
      </c>
      <c r="H75" s="1787" t="e">
        <f t="shared" si="59"/>
        <v>#DIV/0!</v>
      </c>
      <c r="I75" s="1787" t="e">
        <f t="shared" si="59"/>
        <v>#DIV/0!</v>
      </c>
      <c r="J75" s="1787" t="e">
        <f t="shared" si="59"/>
        <v>#DIV/0!</v>
      </c>
      <c r="K75" s="1787" t="e">
        <f t="shared" si="59"/>
        <v>#DIV/0!</v>
      </c>
      <c r="L75" s="1536" t="str">
        <f t="shared" si="59"/>
        <v/>
      </c>
      <c r="AI75" s="258"/>
      <c r="AJ75" s="781"/>
      <c r="AK75" s="476" t="str">
        <f t="shared" si="58"/>
        <v/>
      </c>
      <c r="AL75" s="221"/>
      <c r="AM75" s="347"/>
      <c r="AN75" s="362" t="str">
        <f t="shared" si="40"/>
        <v/>
      </c>
    </row>
    <row r="76" spans="1:43" ht="20" customHeight="1">
      <c r="A76" s="1635"/>
      <c r="B76" s="1621"/>
      <c r="C76" s="1508" t="str">
        <f>AK$90</f>
        <v>% erfüllt</v>
      </c>
      <c r="D76" s="1510" t="s">
        <v>1655</v>
      </c>
      <c r="E76" s="1610">
        <v>1</v>
      </c>
      <c r="F76" s="1607" t="str">
        <f t="shared" ref="F76:L76" si="60">IF(F138&gt;0,"",F74/F75)</f>
        <v/>
      </c>
      <c r="G76" s="1608" t="str">
        <f t="shared" si="60"/>
        <v/>
      </c>
      <c r="H76" s="1608" t="e">
        <f t="shared" si="60"/>
        <v>#DIV/0!</v>
      </c>
      <c r="I76" s="1608" t="e">
        <f t="shared" si="60"/>
        <v>#DIV/0!</v>
      </c>
      <c r="J76" s="1608" t="e">
        <f t="shared" si="60"/>
        <v>#DIV/0!</v>
      </c>
      <c r="K76" s="1608" t="e">
        <f t="shared" si="60"/>
        <v>#DIV/0!</v>
      </c>
      <c r="L76" s="1609" t="str">
        <f t="shared" si="60"/>
        <v/>
      </c>
      <c r="AI76" s="258"/>
      <c r="AJ76" s="781"/>
      <c r="AK76" s="476" t="str">
        <f t="shared" si="58"/>
        <v/>
      </c>
      <c r="AL76" s="221"/>
      <c r="AM76" s="347"/>
      <c r="AN76" s="362" t="str">
        <f t="shared" si="40"/>
        <v/>
      </c>
    </row>
    <row r="77" spans="1:43" ht="20" customHeight="1">
      <c r="A77" s="1635"/>
      <c r="B77" s="1621" t="str">
        <f t="shared" ref="B77:B82" si="61">AK77</f>
        <v>Pflegende in Ausbildung Intensivpflege (x0.75)</v>
      </c>
      <c r="C77" s="1507"/>
      <c r="D77" s="1498"/>
      <c r="E77" s="1511"/>
      <c r="F77" s="1541" t="str">
        <f t="shared" ref="F77:L77" si="62">IF(F138&gt;0,"",0.75*F23)</f>
        <v/>
      </c>
      <c r="G77" s="1542" t="str">
        <f t="shared" si="62"/>
        <v/>
      </c>
      <c r="H77" s="1542">
        <f t="shared" si="62"/>
        <v>0</v>
      </c>
      <c r="I77" s="1542">
        <f t="shared" si="62"/>
        <v>0</v>
      </c>
      <c r="J77" s="1542">
        <f t="shared" si="62"/>
        <v>0</v>
      </c>
      <c r="K77" s="1542">
        <f t="shared" si="62"/>
        <v>0</v>
      </c>
      <c r="L77" s="1543" t="str">
        <f t="shared" si="62"/>
        <v/>
      </c>
      <c r="AI77" s="258" t="s">
        <v>1811</v>
      </c>
      <c r="AJ77" s="781" t="s">
        <v>1742</v>
      </c>
      <c r="AK77" s="476" t="str">
        <f t="shared" si="58"/>
        <v>Pflegende in Ausbildung Intensivpflege (x0.75)</v>
      </c>
      <c r="AL77" s="221"/>
      <c r="AM77" s="347"/>
      <c r="AN77" s="362" t="str">
        <f t="shared" si="40"/>
        <v/>
      </c>
    </row>
    <row r="78" spans="1:43" ht="20" customHeight="1">
      <c r="A78" s="1635"/>
      <c r="B78" s="1621" t="str">
        <f t="shared" si="61"/>
        <v>Diplomiertes Pflegepersonal, alle Anderen</v>
      </c>
      <c r="C78" s="1507"/>
      <c r="D78" s="1498"/>
      <c r="E78" s="1511"/>
      <c r="F78" s="1541" t="str">
        <f t="shared" ref="F78:L78" si="63">IF(F138&gt;0,"",F22+F24)</f>
        <v/>
      </c>
      <c r="G78" s="1542" t="str">
        <f t="shared" si="63"/>
        <v/>
      </c>
      <c r="H78" s="1542">
        <f t="shared" si="63"/>
        <v>0</v>
      </c>
      <c r="I78" s="1542">
        <f t="shared" si="63"/>
        <v>0</v>
      </c>
      <c r="J78" s="1542">
        <f t="shared" si="63"/>
        <v>0</v>
      </c>
      <c r="K78" s="1542">
        <f t="shared" si="63"/>
        <v>0</v>
      </c>
      <c r="L78" s="1543" t="str">
        <f t="shared" si="63"/>
        <v/>
      </c>
      <c r="AI78" s="1649" t="s">
        <v>1799</v>
      </c>
      <c r="AJ78" s="1650" t="s">
        <v>1744</v>
      </c>
      <c r="AK78" s="476" t="str">
        <f t="shared" si="58"/>
        <v>Diplomiertes Pflegepersonal, alle Anderen</v>
      </c>
      <c r="AL78" s="400"/>
      <c r="AM78" s="401"/>
      <c r="AN78" s="362"/>
    </row>
    <row r="79" spans="1:43" ht="20" customHeight="1">
      <c r="A79" s="1635"/>
      <c r="B79" s="1665" t="str">
        <f t="shared" si="61"/>
        <v>FAGE,  besetzte Stellen</v>
      </c>
      <c r="C79" s="1507"/>
      <c r="D79" s="1498"/>
      <c r="E79" s="1511"/>
      <c r="F79" s="1534" t="str">
        <f t="shared" ref="F79:L79" si="64">IF(F138&gt;0,"",F25)</f>
        <v/>
      </c>
      <c r="G79" s="1535" t="str">
        <f t="shared" si="64"/>
        <v/>
      </c>
      <c r="H79" s="1535">
        <f t="shared" si="64"/>
        <v>0</v>
      </c>
      <c r="I79" s="1535">
        <f t="shared" si="64"/>
        <v>0</v>
      </c>
      <c r="J79" s="1535">
        <f t="shared" si="64"/>
        <v>0</v>
      </c>
      <c r="K79" s="1535">
        <f t="shared" si="64"/>
        <v>0</v>
      </c>
      <c r="L79" s="1536" t="str">
        <f t="shared" si="64"/>
        <v/>
      </c>
      <c r="AI79" s="1666" t="s">
        <v>1810</v>
      </c>
      <c r="AJ79" s="1667" t="s">
        <v>1808</v>
      </c>
      <c r="AK79" s="476" t="str">
        <f t="shared" si="58"/>
        <v>FAGE,  besetzte Stellen</v>
      </c>
      <c r="AL79" s="400"/>
      <c r="AM79" s="401"/>
      <c r="AN79" s="362"/>
    </row>
    <row r="80" spans="1:43" ht="20" customHeight="1">
      <c r="A80" s="1635"/>
      <c r="B80" s="1798" t="str">
        <f t="shared" si="61"/>
        <v>FAGE, theoretisch anrechenbar (max. 5% des Minimalbedarfs)</v>
      </c>
      <c r="C80" s="1774"/>
      <c r="D80" s="1775"/>
      <c r="E80" s="1799"/>
      <c r="F80" s="1777" t="str">
        <f t="shared" ref="F80:L80" si="65">IF(F142&gt;0,"",F64*0.8*0.05)</f>
        <v/>
      </c>
      <c r="G80" s="1778" t="str">
        <f t="shared" si="65"/>
        <v/>
      </c>
      <c r="H80" s="1778" t="e">
        <f t="shared" si="65"/>
        <v>#DIV/0!</v>
      </c>
      <c r="I80" s="1778" t="e">
        <f t="shared" si="65"/>
        <v>#DIV/0!</v>
      </c>
      <c r="J80" s="1778" t="e">
        <f t="shared" si="65"/>
        <v>#DIV/0!</v>
      </c>
      <c r="K80" s="1778" t="e">
        <f t="shared" si="65"/>
        <v>#DIV/0!</v>
      </c>
      <c r="L80" s="1800" t="str">
        <f t="shared" si="65"/>
        <v/>
      </c>
      <c r="AI80" s="1666" t="s">
        <v>1813</v>
      </c>
      <c r="AJ80" s="1667" t="s">
        <v>1812</v>
      </c>
      <c r="AK80" s="476" t="str">
        <f t="shared" si="58"/>
        <v>FAGE, theoretisch anrechenbar (max. 5% des Minimalbedarfs)</v>
      </c>
      <c r="AL80" s="400"/>
      <c r="AM80" s="401"/>
      <c r="AN80" s="362"/>
    </row>
    <row r="81" spans="1:43" ht="20" customHeight="1">
      <c r="A81" s="1635"/>
      <c r="B81" s="1621" t="str">
        <f t="shared" si="61"/>
        <v>FAGE, für Gesamtbedarf anrechenbar</v>
      </c>
      <c r="C81" s="1792"/>
      <c r="D81" s="1793"/>
      <c r="E81" s="1794"/>
      <c r="F81" s="1795" t="str">
        <f t="shared" ref="F81" si="66">IF(F79&gt;F80,F80,F79)</f>
        <v/>
      </c>
      <c r="G81" s="1796" t="str">
        <f t="shared" ref="G81" si="67">IF(G79&gt;G80,G80,G79)</f>
        <v/>
      </c>
      <c r="H81" s="1796" t="e">
        <f t="shared" ref="H81" si="68">IF(H79&gt;H80,H80,H79)</f>
        <v>#DIV/0!</v>
      </c>
      <c r="I81" s="1796" t="e">
        <f t="shared" ref="I81" si="69">IF(I79&gt;I80,I80,I79)</f>
        <v>#DIV/0!</v>
      </c>
      <c r="J81" s="1796" t="e">
        <f t="shared" ref="J81:K81" si="70">IF(J79&gt;J80,J80,J79)</f>
        <v>#DIV/0!</v>
      </c>
      <c r="K81" s="1796" t="e">
        <f t="shared" si="70"/>
        <v>#DIV/0!</v>
      </c>
      <c r="L81" s="1797" t="str">
        <f t="shared" ref="L81" si="71">IF(L79&gt;L80,L80,L79)</f>
        <v/>
      </c>
      <c r="AI81" s="1649" t="s">
        <v>1814</v>
      </c>
      <c r="AJ81" s="1650" t="s">
        <v>1809</v>
      </c>
      <c r="AK81" s="476" t="str">
        <f t="shared" si="58"/>
        <v>FAGE, für Gesamtbedarf anrechenbar</v>
      </c>
      <c r="AL81" s="400"/>
      <c r="AM81" s="401"/>
      <c r="AN81" s="362"/>
    </row>
    <row r="82" spans="1:43" ht="20" customHeight="1">
      <c r="A82" s="1635"/>
      <c r="B82" s="1621" t="str">
        <f t="shared" si="61"/>
        <v>Pflegestellen für die direkte Tätigkeit am Patientenbett (FTE)</v>
      </c>
      <c r="C82" s="1507" t="str">
        <f>AK$88</f>
        <v>Stand</v>
      </c>
      <c r="D82" s="1498"/>
      <c r="E82" s="1511"/>
      <c r="F82" s="1544" t="str">
        <f t="shared" ref="F82:L82" si="72">IF(F138&gt;0,"",F74+F77+F78+F81)</f>
        <v/>
      </c>
      <c r="G82" s="1545" t="str">
        <f t="shared" si="72"/>
        <v/>
      </c>
      <c r="H82" s="1545" t="e">
        <f t="shared" si="72"/>
        <v>#DIV/0!</v>
      </c>
      <c r="I82" s="1545" t="e">
        <f t="shared" si="72"/>
        <v>#DIV/0!</v>
      </c>
      <c r="J82" s="1545" t="e">
        <f t="shared" si="72"/>
        <v>#DIV/0!</v>
      </c>
      <c r="K82" s="1545" t="e">
        <f t="shared" si="72"/>
        <v>#DIV/0!</v>
      </c>
      <c r="L82" s="1546" t="str">
        <f t="shared" si="72"/>
        <v/>
      </c>
      <c r="AI82" s="417" t="str">
        <f>'1 ANTRAG-DEMANDE'!AD140</f>
        <v>Pflegestellen für die direkte Tätigkeit am Patientenbett (FTE)</v>
      </c>
      <c r="AJ82" s="418" t="str">
        <f>'1 ANTRAG-DEMANDE'!AE140</f>
        <v>Dotation totale soignante en activité clinique (EPT)</v>
      </c>
      <c r="AK82" s="476" t="str">
        <f>IF(AI82=0,"",IF($A$1="D",AI82,AJ82))</f>
        <v>Pflegestellen für die direkte Tätigkeit am Patientenbett (FTE)</v>
      </c>
    </row>
    <row r="83" spans="1:43" ht="20" customHeight="1">
      <c r="A83" s="1635"/>
      <c r="B83" s="1621"/>
      <c r="C83" s="1784" t="str">
        <f>AK$89</f>
        <v>Minimum, gefordert</v>
      </c>
      <c r="D83" s="1789"/>
      <c r="E83" s="1790"/>
      <c r="F83" s="1786" t="str">
        <f t="shared" ref="F83:L83" si="73">F64</f>
        <v/>
      </c>
      <c r="G83" s="1787">
        <f t="shared" si="73"/>
        <v>0</v>
      </c>
      <c r="H83" s="1787" t="e">
        <f t="shared" si="73"/>
        <v>#DIV/0!</v>
      </c>
      <c r="I83" s="1787" t="e">
        <f t="shared" si="73"/>
        <v>#DIV/0!</v>
      </c>
      <c r="J83" s="1787" t="e">
        <f t="shared" si="73"/>
        <v>#DIV/0!</v>
      </c>
      <c r="K83" s="1787" t="e">
        <f t="shared" si="73"/>
        <v>#DIV/0!</v>
      </c>
      <c r="L83" s="1788" t="str">
        <f t="shared" si="73"/>
        <v/>
      </c>
      <c r="AI83" s="221"/>
      <c r="AJ83" s="347"/>
      <c r="AK83" s="362"/>
      <c r="AL83" s="221"/>
      <c r="AM83" s="347"/>
      <c r="AN83" s="362"/>
    </row>
    <row r="84" spans="1:43" ht="20" customHeight="1">
      <c r="A84" s="1669"/>
      <c r="B84" s="1670"/>
      <c r="C84" s="1508" t="str">
        <f>AK$90</f>
        <v>% erfüllt</v>
      </c>
      <c r="D84" s="1611" t="s">
        <v>1655</v>
      </c>
      <c r="E84" s="1671">
        <v>0.8</v>
      </c>
      <c r="F84" s="1672" t="str">
        <f t="shared" ref="F84:L84" si="74">IF(F142&gt;0,"",F82/F83)</f>
        <v/>
      </c>
      <c r="G84" s="1673" t="str">
        <f t="shared" si="74"/>
        <v/>
      </c>
      <c r="H84" s="1673" t="e">
        <f t="shared" si="74"/>
        <v>#DIV/0!</v>
      </c>
      <c r="I84" s="1673" t="e">
        <f t="shared" si="74"/>
        <v>#DIV/0!</v>
      </c>
      <c r="J84" s="1673" t="e">
        <f t="shared" si="74"/>
        <v>#DIV/0!</v>
      </c>
      <c r="K84" s="1673" t="e">
        <f t="shared" si="74"/>
        <v>#DIV/0!</v>
      </c>
      <c r="L84" s="1674" t="str">
        <f t="shared" si="74"/>
        <v/>
      </c>
      <c r="AI84" s="1675"/>
      <c r="AJ84" s="1676"/>
      <c r="AK84" s="1677"/>
      <c r="AL84" s="1675"/>
      <c r="AM84" s="1676"/>
      <c r="AN84" s="1677"/>
    </row>
    <row r="85" spans="1:43" s="510" customFormat="1" ht="20" customHeight="1">
      <c r="A85" s="1669"/>
      <c r="B85" s="2407" t="str">
        <f>AK85</f>
        <v>Defizit zum strikten Minimum</v>
      </c>
      <c r="C85" s="2407"/>
      <c r="D85" s="1748" t="s">
        <v>1816</v>
      </c>
      <c r="E85" s="1749" t="str">
        <f>AN85</f>
        <v>FTE</v>
      </c>
      <c r="F85" s="1750" t="str">
        <f t="shared" ref="F85:I85" si="75">IF(F84&gt;0.8,"",F83*0.8-F82)</f>
        <v/>
      </c>
      <c r="G85" s="1751" t="str">
        <f t="shared" si="75"/>
        <v/>
      </c>
      <c r="H85" s="1751" t="e">
        <f t="shared" si="75"/>
        <v>#DIV/0!</v>
      </c>
      <c r="I85" s="1751" t="e">
        <f t="shared" si="75"/>
        <v>#DIV/0!</v>
      </c>
      <c r="J85" s="1751" t="e">
        <f>IF(J84&gt;0.8,"",J83*0.8-J82)</f>
        <v>#DIV/0!</v>
      </c>
      <c r="K85" s="1751" t="e">
        <f>IF(K84&gt;0.8,"",K83*0.8-K82)</f>
        <v>#DIV/0!</v>
      </c>
      <c r="L85" s="1752" t="str">
        <f>IF(L84&gt;0.8,"",L83*0.8-L82)</f>
        <v/>
      </c>
      <c r="N85" s="1680"/>
      <c r="Z85" s="1813"/>
      <c r="AA85" s="1813"/>
      <c r="AB85" s="1813"/>
      <c r="AG85" s="1050"/>
      <c r="AI85" s="1753" t="s">
        <v>1819</v>
      </c>
      <c r="AJ85" s="1754" t="s">
        <v>1818</v>
      </c>
      <c r="AK85" s="476" t="str">
        <f>IF(AI85=0,"",IF($A$1="D",AI85,AJ85))</f>
        <v>Defizit zum strikten Minimum</v>
      </c>
      <c r="AL85" s="1753" t="s">
        <v>1125</v>
      </c>
      <c r="AM85" s="1754" t="s">
        <v>1817</v>
      </c>
      <c r="AN85" s="1755" t="str">
        <f t="shared" ref="AN85:AN87" si="76">IF(AL85=0,"",IF($A$1="D",AL85,AM85))</f>
        <v>FTE</v>
      </c>
      <c r="AQ85" s="1050"/>
    </row>
    <row r="86" spans="1:43" s="1707" customFormat="1" ht="13.5" customHeight="1" thickBot="1">
      <c r="A86" s="1637"/>
      <c r="B86" s="1735"/>
      <c r="C86" s="1735"/>
      <c r="D86" s="1705"/>
      <c r="E86" s="1706"/>
      <c r="F86" s="1757"/>
      <c r="G86" s="1758"/>
      <c r="H86" s="1758"/>
      <c r="I86" s="1758"/>
      <c r="J86" s="1759" t="str">
        <f>AK41&amp;I2</f>
        <v>gem. Aktivität 1899</v>
      </c>
      <c r="K86" s="1758"/>
      <c r="L86" s="1760"/>
      <c r="N86" s="1475"/>
      <c r="Z86" s="1814"/>
      <c r="AA86" s="1814"/>
      <c r="AB86" s="1814"/>
      <c r="AG86" s="1708"/>
      <c r="AI86" s="1709"/>
      <c r="AJ86" s="1710"/>
      <c r="AK86" s="1741"/>
      <c r="AL86" s="1709"/>
      <c r="AM86" s="1710"/>
      <c r="AN86" s="1711"/>
      <c r="AQ86" s="1708"/>
    </row>
    <row r="87" spans="1:43" s="1484" customFormat="1" ht="20" customHeight="1">
      <c r="A87" s="1827" t="str">
        <f>A14</f>
        <v>Ärztl. Leitung</v>
      </c>
      <c r="B87" s="1715"/>
      <c r="C87" s="1716"/>
      <c r="D87" s="1717"/>
      <c r="E87" s="1718"/>
      <c r="F87" s="1719"/>
      <c r="G87" s="1720"/>
      <c r="H87" s="1720"/>
      <c r="I87" s="1720"/>
      <c r="J87" s="1720"/>
      <c r="K87" s="1720"/>
      <c r="L87" s="1721"/>
      <c r="N87" s="1722"/>
      <c r="Z87" s="1810"/>
      <c r="AA87" s="1810"/>
      <c r="AB87" s="1810"/>
      <c r="AG87" s="1485"/>
      <c r="AI87" s="1723"/>
      <c r="AJ87" s="1724"/>
      <c r="AK87" s="1642" t="str">
        <f t="shared" ref="AK87" si="77">IF(AI87=0,"",IF($A$1="D",AI87,AJ87))</f>
        <v/>
      </c>
      <c r="AL87" s="1725"/>
      <c r="AM87" s="1726"/>
      <c r="AN87" s="1642" t="str">
        <f t="shared" si="76"/>
        <v/>
      </c>
      <c r="AQ87" s="1485"/>
    </row>
    <row r="88" spans="1:43" ht="20" customHeight="1">
      <c r="A88" s="1630"/>
      <c r="B88" s="1503"/>
      <c r="C88" s="1507" t="str">
        <f>AK$88</f>
        <v>Stand</v>
      </c>
      <c r="D88" s="1502"/>
      <c r="E88" s="1512"/>
      <c r="F88" s="1529" t="str">
        <f t="shared" ref="F88:L88" si="78">IF(F14=0,"",F14)</f>
        <v/>
      </c>
      <c r="G88" s="1530" t="str">
        <f t="shared" si="78"/>
        <v/>
      </c>
      <c r="H88" s="1530" t="str">
        <f t="shared" si="78"/>
        <v>/</v>
      </c>
      <c r="I88" s="1530" t="str">
        <f t="shared" si="78"/>
        <v>/</v>
      </c>
      <c r="J88" s="1530" t="str">
        <f t="shared" si="78"/>
        <v>/</v>
      </c>
      <c r="K88" s="1530" t="str">
        <f t="shared" si="78"/>
        <v>/</v>
      </c>
      <c r="L88" s="1531" t="str">
        <f t="shared" si="78"/>
        <v/>
      </c>
      <c r="AI88" s="258" t="s">
        <v>1739</v>
      </c>
      <c r="AJ88" s="781" t="s">
        <v>1786</v>
      </c>
      <c r="AK88" s="476" t="str">
        <f>IF(AI88=0,"",IF($A$1="D",AI88,AJ88))</f>
        <v>Stand</v>
      </c>
      <c r="AL88" s="410"/>
      <c r="AM88" s="1178"/>
      <c r="AN88" s="362"/>
    </row>
    <row r="89" spans="1:43" ht="20" customHeight="1">
      <c r="A89" s="1632"/>
      <c r="B89" s="1801"/>
      <c r="C89" s="1784" t="str">
        <f>AK$89</f>
        <v>Minimum, gefordert</v>
      </c>
      <c r="D89" s="1508"/>
      <c r="E89" s="1785"/>
      <c r="F89" s="1802" t="str">
        <f t="shared" ref="F89:L89" si="79">IF(F7=0,"",IF(F7&lt;8,0.8,IF(F7&lt;12,1.2,1.6)))</f>
        <v/>
      </c>
      <c r="G89" s="1803" t="str">
        <f t="shared" si="79"/>
        <v/>
      </c>
      <c r="H89" s="1803" t="str">
        <f t="shared" si="79"/>
        <v/>
      </c>
      <c r="I89" s="1803" t="str">
        <f t="shared" si="79"/>
        <v/>
      </c>
      <c r="J89" s="1803" t="str">
        <f t="shared" si="79"/>
        <v/>
      </c>
      <c r="K89" s="1803" t="str">
        <f t="shared" si="79"/>
        <v/>
      </c>
      <c r="L89" s="1804" t="str">
        <f t="shared" si="79"/>
        <v/>
      </c>
      <c r="AI89" s="258" t="s">
        <v>1789</v>
      </c>
      <c r="AJ89" s="781" t="s">
        <v>1787</v>
      </c>
      <c r="AK89" s="362" t="str">
        <f>IF(AI89=0,"",IF($A$1="D",AI89,AJ89))</f>
        <v>Minimum, gefordert</v>
      </c>
      <c r="AL89" s="410"/>
      <c r="AM89" s="1178"/>
      <c r="AN89" s="362"/>
    </row>
    <row r="90" spans="1:43" s="1343" customFormat="1" ht="20" customHeight="1" thickBot="1">
      <c r="A90" s="1633"/>
      <c r="B90" s="1504"/>
      <c r="C90" s="1509" t="str">
        <f>AK$90</f>
        <v>% erfüllt</v>
      </c>
      <c r="D90" s="1509" t="s">
        <v>1655</v>
      </c>
      <c r="E90" s="1516">
        <v>1</v>
      </c>
      <c r="F90" s="1526" t="str">
        <f t="shared" ref="F90:L90" si="80">IF(F14=0,"",F88/F89)</f>
        <v/>
      </c>
      <c r="G90" s="1527" t="str">
        <f t="shared" si="80"/>
        <v/>
      </c>
      <c r="H90" s="1527" t="e">
        <f t="shared" si="80"/>
        <v>#VALUE!</v>
      </c>
      <c r="I90" s="1527" t="e">
        <f t="shared" si="80"/>
        <v>#VALUE!</v>
      </c>
      <c r="J90" s="1527" t="e">
        <f t="shared" si="80"/>
        <v>#VALUE!</v>
      </c>
      <c r="K90" s="1527" t="e">
        <f t="shared" si="80"/>
        <v>#VALUE!</v>
      </c>
      <c r="L90" s="1528" t="str">
        <f t="shared" si="80"/>
        <v/>
      </c>
      <c r="N90" s="1477"/>
      <c r="Z90" s="1809"/>
      <c r="AA90" s="1809"/>
      <c r="AB90" s="1809"/>
      <c r="AG90" s="1344"/>
      <c r="AI90" s="1345" t="s">
        <v>1740</v>
      </c>
      <c r="AJ90" s="1346" t="s">
        <v>1788</v>
      </c>
      <c r="AK90" s="1347" t="str">
        <f>IF(AI90=0,"",IF($A$1="D",AI90,AJ90))</f>
        <v>% erfüllt</v>
      </c>
      <c r="AL90" s="1348"/>
      <c r="AM90" s="1349"/>
      <c r="AN90" s="1347"/>
      <c r="AQ90" s="1344"/>
    </row>
    <row r="91" spans="1:43" s="1484" customFormat="1" ht="20" customHeight="1">
      <c r="A91" s="1827" t="str">
        <f>A30</f>
        <v>Sekretariat</v>
      </c>
      <c r="B91" s="1715"/>
      <c r="C91" s="1716"/>
      <c r="D91" s="1717"/>
      <c r="E91" s="1718"/>
      <c r="F91" s="1719"/>
      <c r="G91" s="1720"/>
      <c r="H91" s="1720"/>
      <c r="I91" s="1720"/>
      <c r="J91" s="1720"/>
      <c r="K91" s="1720"/>
      <c r="L91" s="1721"/>
      <c r="N91" s="1722"/>
      <c r="Z91" s="1810"/>
      <c r="AA91" s="1810"/>
      <c r="AB91" s="1810"/>
      <c r="AG91" s="1485"/>
      <c r="AI91" s="1723"/>
      <c r="AJ91" s="1724"/>
      <c r="AK91" s="1642" t="str">
        <f t="shared" ref="AK91" si="81">IF(AI91=0,"",IF($A$1="D",AI91,AJ91))</f>
        <v/>
      </c>
      <c r="AL91" s="1725"/>
      <c r="AM91" s="1726"/>
      <c r="AN91" s="1642" t="str">
        <f t="shared" ref="AN91" si="82">IF(AL91=0,"",IF($A$1="D",AL91,AM91))</f>
        <v/>
      </c>
      <c r="AQ91" s="1485"/>
    </row>
    <row r="92" spans="1:43" ht="19.5" customHeight="1">
      <c r="A92" s="1630"/>
      <c r="B92" s="1503"/>
      <c r="C92" s="1507" t="str">
        <f>AK$88</f>
        <v>Stand</v>
      </c>
      <c r="D92" s="1502"/>
      <c r="E92" s="1512"/>
      <c r="F92" s="1529" t="str">
        <f t="shared" ref="F92:L92" si="83">IF(F30=0,"",F30)</f>
        <v/>
      </c>
      <c r="G92" s="1530" t="str">
        <f t="shared" si="83"/>
        <v/>
      </c>
      <c r="H92" s="1530" t="str">
        <f t="shared" si="83"/>
        <v/>
      </c>
      <c r="I92" s="1530" t="str">
        <f t="shared" si="83"/>
        <v/>
      </c>
      <c r="J92" s="1530" t="str">
        <f t="shared" si="83"/>
        <v/>
      </c>
      <c r="K92" s="1530" t="str">
        <f t="shared" si="83"/>
        <v/>
      </c>
      <c r="L92" s="1531" t="str">
        <f t="shared" si="83"/>
        <v/>
      </c>
      <c r="AI92" s="258"/>
      <c r="AJ92" s="781"/>
      <c r="AK92" s="362"/>
      <c r="AL92" s="410"/>
      <c r="AM92" s="1178"/>
      <c r="AN92" s="362"/>
    </row>
    <row r="93" spans="1:43" ht="20" customHeight="1">
      <c r="A93" s="1495"/>
      <c r="B93" s="1801"/>
      <c r="C93" s="1784" t="str">
        <f>AK$89</f>
        <v>Minimum, gefordert</v>
      </c>
      <c r="D93" s="1508"/>
      <c r="E93" s="1785"/>
      <c r="F93" s="1805" t="str">
        <f t="shared" ref="F93:L93" si="84">IF(F7=0,"",F7*0.5/6)</f>
        <v/>
      </c>
      <c r="G93" s="1806" t="str">
        <f t="shared" si="84"/>
        <v/>
      </c>
      <c r="H93" s="1806" t="str">
        <f t="shared" si="84"/>
        <v/>
      </c>
      <c r="I93" s="1806" t="str">
        <f t="shared" si="84"/>
        <v/>
      </c>
      <c r="J93" s="1806" t="str">
        <f t="shared" si="84"/>
        <v/>
      </c>
      <c r="K93" s="1806" t="str">
        <f t="shared" si="84"/>
        <v/>
      </c>
      <c r="L93" s="1807" t="str">
        <f t="shared" si="84"/>
        <v/>
      </c>
      <c r="AI93" s="258"/>
      <c r="AJ93" s="781"/>
      <c r="AK93" s="362"/>
      <c r="AL93" s="410"/>
      <c r="AM93" s="1178"/>
      <c r="AN93" s="362"/>
    </row>
    <row r="94" spans="1:43" s="1343" customFormat="1" ht="20" customHeight="1" thickBot="1">
      <c r="A94" s="1499"/>
      <c r="B94" s="1504"/>
      <c r="C94" s="1509" t="str">
        <f>AK$90</f>
        <v>% erfüllt</v>
      </c>
      <c r="D94" s="1509" t="s">
        <v>1655</v>
      </c>
      <c r="E94" s="1516">
        <v>1</v>
      </c>
      <c r="F94" s="1526" t="str">
        <f t="shared" ref="F94:L94" si="85">IF(F30=0,"",F92/F93)</f>
        <v/>
      </c>
      <c r="G94" s="1527" t="str">
        <f t="shared" si="85"/>
        <v/>
      </c>
      <c r="H94" s="1527" t="str">
        <f t="shared" si="85"/>
        <v/>
      </c>
      <c r="I94" s="1527" t="str">
        <f t="shared" si="85"/>
        <v/>
      </c>
      <c r="J94" s="1527" t="str">
        <f t="shared" si="85"/>
        <v/>
      </c>
      <c r="K94" s="1527" t="str">
        <f t="shared" si="85"/>
        <v/>
      </c>
      <c r="L94" s="1528" t="str">
        <f t="shared" si="85"/>
        <v/>
      </c>
      <c r="N94" s="1477"/>
      <c r="Z94" s="1809"/>
      <c r="AA94" s="1809"/>
      <c r="AB94" s="1809"/>
      <c r="AG94" s="1344"/>
      <c r="AI94" s="1345" t="s">
        <v>1894</v>
      </c>
      <c r="AJ94" s="1346" t="s">
        <v>1898</v>
      </c>
      <c r="AK94" s="1347" t="str">
        <f>IF(AI94=0,"",IF($A$1="D",AI94,AJ94))</f>
        <v>Schwarz: Rohdaten</v>
      </c>
      <c r="AL94" s="258" t="s">
        <v>1896</v>
      </c>
      <c r="AM94" s="781" t="s">
        <v>1900</v>
      </c>
      <c r="AN94" s="476" t="str">
        <f t="shared" ref="AN94:AN95" si="86">IF(AL94=0,"",IF($A$1="D",AL94,AM94))</f>
        <v>Blau: Reglement</v>
      </c>
      <c r="AQ94" s="1344"/>
    </row>
    <row r="95" spans="1:43" ht="24.75" customHeight="1" thickBot="1">
      <c r="A95" s="1828"/>
      <c r="B95" s="1829" t="str">
        <f>AK94</f>
        <v>Schwarz: Rohdaten</v>
      </c>
      <c r="C95" s="1830"/>
      <c r="D95" s="1831"/>
      <c r="E95" s="1832" t="str">
        <f>AK95</f>
        <v>Grün: berechnete Grundwerte</v>
      </c>
      <c r="F95" s="1833"/>
      <c r="G95" s="1834"/>
      <c r="H95" s="1835" t="str">
        <f>AN94</f>
        <v>Blau: Reglement</v>
      </c>
      <c r="I95" s="1834"/>
      <c r="J95" s="1836" t="str">
        <f>AN95</f>
        <v>Rot: nicht konform</v>
      </c>
      <c r="K95" s="1834"/>
      <c r="L95" s="1833"/>
      <c r="AI95" s="221" t="s">
        <v>1895</v>
      </c>
      <c r="AJ95" s="347" t="s">
        <v>1899</v>
      </c>
      <c r="AK95" s="1347" t="str">
        <f>IF(AI95=0,"",IF($A$1="D",AI95,AJ95))</f>
        <v>Grün: berechnete Grundwerte</v>
      </c>
      <c r="AL95" s="221" t="s">
        <v>1897</v>
      </c>
      <c r="AM95" s="347" t="s">
        <v>1901</v>
      </c>
      <c r="AN95" s="476" t="str">
        <f t="shared" si="86"/>
        <v>Rot: nicht konform</v>
      </c>
    </row>
    <row r="96" spans="1:43" ht="42" customHeight="1">
      <c r="AI96" s="221"/>
      <c r="AJ96" s="347"/>
      <c r="AK96" s="362"/>
      <c r="AL96" s="221"/>
      <c r="AM96" s="347"/>
      <c r="AN96" s="362"/>
    </row>
    <row r="97" spans="35:40" ht="42" customHeight="1">
      <c r="AI97" s="221"/>
      <c r="AJ97" s="347"/>
      <c r="AK97" s="362"/>
      <c r="AL97" s="221"/>
      <c r="AM97" s="347"/>
      <c r="AN97" s="362"/>
    </row>
    <row r="98" spans="35:40" ht="42" customHeight="1">
      <c r="AI98" s="221"/>
      <c r="AJ98" s="347"/>
      <c r="AK98" s="362"/>
      <c r="AL98" s="221"/>
      <c r="AM98" s="347"/>
      <c r="AN98" s="362"/>
    </row>
    <row r="99" spans="35:40" ht="42" customHeight="1">
      <c r="AI99" s="221"/>
      <c r="AJ99" s="347"/>
      <c r="AK99" s="362"/>
      <c r="AL99" s="221"/>
      <c r="AM99" s="347"/>
      <c r="AN99" s="362"/>
    </row>
    <row r="100" spans="35:40" ht="42" customHeight="1">
      <c r="AI100" s="221"/>
      <c r="AJ100" s="347"/>
      <c r="AK100" s="362"/>
      <c r="AL100" s="221"/>
      <c r="AM100" s="347"/>
      <c r="AN100" s="362"/>
    </row>
    <row r="101" spans="35:40" ht="42" customHeight="1">
      <c r="AI101" s="221"/>
      <c r="AJ101" s="347"/>
      <c r="AK101" s="362"/>
      <c r="AL101" s="221"/>
      <c r="AM101" s="347"/>
      <c r="AN101" s="362"/>
    </row>
    <row r="102" spans="35:40" ht="42" customHeight="1">
      <c r="AI102" s="221"/>
      <c r="AJ102" s="347"/>
      <c r="AK102" s="362"/>
      <c r="AL102" s="221"/>
      <c r="AM102" s="347"/>
      <c r="AN102" s="362"/>
    </row>
    <row r="103" spans="35:40" ht="42" customHeight="1">
      <c r="AI103" s="221"/>
      <c r="AJ103" s="347"/>
      <c r="AK103" s="362"/>
      <c r="AL103" s="221"/>
      <c r="AM103" s="347"/>
      <c r="AN103" s="362"/>
    </row>
    <row r="104" spans="35:40" ht="42" customHeight="1">
      <c r="AI104" s="221"/>
      <c r="AJ104" s="347"/>
      <c r="AK104" s="362"/>
      <c r="AL104" s="221"/>
      <c r="AM104" s="347"/>
      <c r="AN104" s="362"/>
    </row>
    <row r="105" spans="35:40" ht="42" customHeight="1">
      <c r="AI105" s="221"/>
      <c r="AJ105" s="347"/>
      <c r="AK105" s="362"/>
      <c r="AL105" s="221"/>
      <c r="AM105" s="347"/>
      <c r="AN105" s="362"/>
    </row>
    <row r="106" spans="35:40" ht="42" customHeight="1">
      <c r="AI106" s="221"/>
      <c r="AJ106" s="347"/>
      <c r="AK106" s="362"/>
      <c r="AL106" s="221"/>
      <c r="AM106" s="347"/>
      <c r="AN106" s="362"/>
    </row>
    <row r="107" spans="35:40" ht="42" customHeight="1">
      <c r="AI107" s="221"/>
      <c r="AJ107" s="347"/>
      <c r="AK107" s="362"/>
      <c r="AL107" s="221"/>
      <c r="AM107" s="347"/>
      <c r="AN107" s="362"/>
    </row>
    <row r="108" spans="35:40" ht="42" customHeight="1">
      <c r="AI108" s="221"/>
      <c r="AJ108" s="347"/>
      <c r="AK108" s="362"/>
      <c r="AL108" s="221"/>
      <c r="AM108" s="347"/>
      <c r="AN108" s="362"/>
    </row>
    <row r="109" spans="35:40" ht="42" customHeight="1">
      <c r="AI109" s="221"/>
      <c r="AJ109" s="347"/>
      <c r="AK109" s="362"/>
      <c r="AL109" s="221"/>
      <c r="AM109" s="347"/>
      <c r="AN109" s="362"/>
    </row>
    <row r="110" spans="35:40" ht="42" customHeight="1">
      <c r="AI110" s="221"/>
      <c r="AJ110" s="347"/>
      <c r="AK110" s="362"/>
      <c r="AL110" s="221"/>
      <c r="AM110" s="347"/>
      <c r="AN110" s="362"/>
    </row>
    <row r="111" spans="35:40" ht="42" customHeight="1">
      <c r="AI111" s="221"/>
      <c r="AJ111" s="347"/>
      <c r="AK111" s="362"/>
      <c r="AL111" s="221"/>
      <c r="AM111" s="347"/>
      <c r="AN111" s="362"/>
    </row>
    <row r="112" spans="35:40" ht="42" customHeight="1">
      <c r="AI112" s="221"/>
      <c r="AJ112" s="347"/>
      <c r="AK112" s="362"/>
      <c r="AL112" s="221"/>
      <c r="AM112" s="347"/>
      <c r="AN112" s="362"/>
    </row>
    <row r="113" spans="35:40" ht="42" customHeight="1">
      <c r="AI113" s="221"/>
      <c r="AJ113" s="347"/>
      <c r="AK113" s="362"/>
      <c r="AL113" s="221"/>
      <c r="AM113" s="347"/>
      <c r="AN113" s="362"/>
    </row>
    <row r="114" spans="35:40" ht="42" customHeight="1">
      <c r="AI114" s="221"/>
      <c r="AJ114" s="347"/>
      <c r="AK114" s="362"/>
      <c r="AL114" s="221"/>
      <c r="AM114" s="347"/>
      <c r="AN114" s="362"/>
    </row>
    <row r="115" spans="35:40" ht="42" customHeight="1">
      <c r="AI115" s="221"/>
      <c r="AJ115" s="347"/>
      <c r="AK115" s="362"/>
      <c r="AL115" s="221"/>
      <c r="AM115" s="347"/>
      <c r="AN115" s="362"/>
    </row>
    <row r="116" spans="35:40" ht="42" customHeight="1">
      <c r="AI116" s="221"/>
      <c r="AJ116" s="347"/>
      <c r="AK116" s="362"/>
      <c r="AL116" s="221"/>
      <c r="AM116" s="347"/>
      <c r="AN116" s="362"/>
    </row>
    <row r="117" spans="35:40" ht="42" customHeight="1">
      <c r="AI117" s="221"/>
      <c r="AJ117" s="347"/>
      <c r="AK117" s="362"/>
      <c r="AL117" s="221"/>
      <c r="AM117" s="347"/>
      <c r="AN117" s="362"/>
    </row>
    <row r="118" spans="35:40" ht="42" customHeight="1">
      <c r="AI118" s="221"/>
      <c r="AJ118" s="347"/>
      <c r="AK118" s="362"/>
      <c r="AL118" s="221"/>
      <c r="AM118" s="347"/>
      <c r="AN118" s="362"/>
    </row>
    <row r="119" spans="35:40" ht="42" customHeight="1">
      <c r="AI119" s="221"/>
      <c r="AJ119" s="347"/>
      <c r="AK119" s="362"/>
      <c r="AL119" s="221"/>
      <c r="AM119" s="347"/>
      <c r="AN119" s="362"/>
    </row>
    <row r="120" spans="35:40" ht="42" customHeight="1">
      <c r="AI120" s="221"/>
      <c r="AJ120" s="347"/>
      <c r="AK120" s="362"/>
      <c r="AL120" s="221"/>
      <c r="AM120" s="347"/>
      <c r="AN120" s="362"/>
    </row>
    <row r="121" spans="35:40" ht="42" customHeight="1">
      <c r="AI121" s="221"/>
      <c r="AJ121" s="347"/>
      <c r="AK121" s="362"/>
      <c r="AL121" s="221"/>
      <c r="AM121" s="347"/>
      <c r="AN121" s="362"/>
    </row>
    <row r="122" spans="35:40" ht="42" customHeight="1">
      <c r="AI122" s="221"/>
      <c r="AJ122" s="347"/>
      <c r="AK122" s="362"/>
      <c r="AL122" s="221"/>
      <c r="AM122" s="347"/>
      <c r="AN122" s="362"/>
    </row>
    <row r="123" spans="35:40" ht="42" customHeight="1">
      <c r="AI123" s="221"/>
      <c r="AJ123" s="347"/>
      <c r="AK123" s="362"/>
      <c r="AL123" s="221"/>
      <c r="AM123" s="347"/>
      <c r="AN123" s="362"/>
    </row>
    <row r="124" spans="35:40" ht="42" customHeight="1">
      <c r="AI124" s="221"/>
      <c r="AJ124" s="347"/>
      <c r="AK124" s="362"/>
      <c r="AL124" s="221"/>
      <c r="AM124" s="347"/>
      <c r="AN124" s="362"/>
    </row>
    <row r="125" spans="35:40" ht="42" customHeight="1">
      <c r="AI125" s="221"/>
      <c r="AJ125" s="347"/>
      <c r="AK125" s="362"/>
      <c r="AL125" s="221"/>
      <c r="AM125" s="347"/>
      <c r="AN125" s="362"/>
    </row>
    <row r="126" spans="35:40" ht="42" customHeight="1">
      <c r="AI126" s="221"/>
      <c r="AJ126" s="347"/>
      <c r="AK126" s="362"/>
      <c r="AL126" s="221"/>
      <c r="AM126" s="347"/>
      <c r="AN126" s="362"/>
    </row>
    <row r="127" spans="35:40" ht="42" customHeight="1">
      <c r="AI127" s="221"/>
      <c r="AJ127" s="347"/>
      <c r="AK127" s="362"/>
      <c r="AL127" s="221"/>
      <c r="AM127" s="347"/>
      <c r="AN127" s="362"/>
    </row>
    <row r="128" spans="35:40" ht="42" customHeight="1">
      <c r="AI128" s="221"/>
      <c r="AJ128" s="347"/>
      <c r="AK128" s="362"/>
      <c r="AL128" s="221"/>
      <c r="AM128" s="347"/>
      <c r="AN128" s="362"/>
    </row>
    <row r="129" spans="1:43" ht="42" customHeight="1">
      <c r="AI129" s="221"/>
      <c r="AJ129" s="347"/>
      <c r="AK129" s="362"/>
      <c r="AL129" s="221"/>
      <c r="AM129" s="347"/>
      <c r="AN129" s="362"/>
    </row>
    <row r="130" spans="1:43" ht="42" customHeight="1">
      <c r="AI130" s="221"/>
      <c r="AJ130" s="347"/>
      <c r="AK130" s="362"/>
      <c r="AL130" s="221"/>
      <c r="AM130" s="347"/>
      <c r="AN130" s="362"/>
    </row>
    <row r="131" spans="1:43" ht="42" customHeight="1">
      <c r="AI131" s="221"/>
      <c r="AJ131" s="347"/>
      <c r="AK131" s="362"/>
      <c r="AL131" s="221"/>
      <c r="AM131" s="347"/>
      <c r="AN131" s="362"/>
    </row>
    <row r="132" spans="1:43" ht="42" customHeight="1">
      <c r="AI132" s="400"/>
      <c r="AJ132" s="401"/>
      <c r="AK132" s="362"/>
      <c r="AL132" s="400"/>
      <c r="AM132" s="401"/>
      <c r="AN132" s="399"/>
    </row>
    <row r="133" spans="1:43" ht="42" customHeight="1" thickBot="1">
      <c r="AI133" s="400"/>
      <c r="AJ133" s="401"/>
      <c r="AK133" s="362"/>
      <c r="AL133" s="400"/>
      <c r="AM133" s="401"/>
      <c r="AN133" s="362"/>
    </row>
    <row r="134" spans="1:43" s="1456" customFormat="1" ht="42" customHeight="1" thickTop="1">
      <c r="A134" s="1451"/>
      <c r="B134" s="1452" t="s">
        <v>1745</v>
      </c>
      <c r="C134" s="1453"/>
      <c r="D134" s="1454"/>
      <c r="E134" s="1455"/>
      <c r="F134" s="1455"/>
      <c r="G134" s="1455"/>
      <c r="H134" s="1455"/>
      <c r="I134" s="1455"/>
      <c r="J134" s="1455"/>
      <c r="K134" s="1455"/>
      <c r="L134" s="1455"/>
      <c r="N134" s="1479"/>
      <c r="Z134" s="1455"/>
      <c r="AA134" s="1455"/>
      <c r="AB134" s="1455"/>
      <c r="AG134" s="1457"/>
      <c r="AI134" s="1458"/>
      <c r="AJ134" s="1459"/>
      <c r="AK134" s="1460"/>
      <c r="AL134" s="1458"/>
      <c r="AM134" s="1459"/>
      <c r="AN134" s="1460"/>
      <c r="AQ134" s="1457"/>
    </row>
    <row r="135" spans="1:43" ht="42" customHeight="1">
      <c r="B135" s="163" t="s">
        <v>1752</v>
      </c>
      <c r="F135" s="464">
        <f t="shared" ref="F135:L135" si="87">COUNTBLANK(F7)</f>
        <v>1</v>
      </c>
      <c r="G135" s="464">
        <f t="shared" si="87"/>
        <v>0</v>
      </c>
      <c r="H135" s="464">
        <f t="shared" si="87"/>
        <v>0</v>
      </c>
      <c r="I135" s="464">
        <f t="shared" si="87"/>
        <v>0</v>
      </c>
      <c r="J135" s="464">
        <f t="shared" si="87"/>
        <v>0</v>
      </c>
      <c r="K135" s="464">
        <f t="shared" si="87"/>
        <v>0</v>
      </c>
      <c r="L135" s="464">
        <f t="shared" si="87"/>
        <v>1</v>
      </c>
      <c r="AI135" s="400"/>
      <c r="AJ135" s="401"/>
      <c r="AK135" s="362"/>
      <c r="AL135" s="400"/>
      <c r="AM135" s="401"/>
      <c r="AN135" s="362"/>
    </row>
    <row r="136" spans="1:43" ht="42" customHeight="1">
      <c r="B136" s="163" t="s">
        <v>1746</v>
      </c>
      <c r="F136" s="1461">
        <f t="shared" ref="F136:L136" si="88">COUNTBLANK(F10:F13)</f>
        <v>4</v>
      </c>
      <c r="G136" s="1461">
        <f t="shared" si="88"/>
        <v>0</v>
      </c>
      <c r="H136" s="1461">
        <f t="shared" si="88"/>
        <v>0</v>
      </c>
      <c r="I136" s="1461">
        <f t="shared" si="88"/>
        <v>0</v>
      </c>
      <c r="J136" s="1461">
        <f t="shared" si="88"/>
        <v>0</v>
      </c>
      <c r="K136" s="1461">
        <f t="shared" si="88"/>
        <v>0</v>
      </c>
      <c r="L136" s="1461">
        <f t="shared" si="88"/>
        <v>4</v>
      </c>
      <c r="AK136" s="362"/>
      <c r="AN136" s="362"/>
    </row>
    <row r="137" spans="1:43" ht="42" customHeight="1">
      <c r="B137" s="163" t="s">
        <v>1747</v>
      </c>
      <c r="F137" s="1462">
        <f t="shared" ref="F137:L137" si="89">COUNTBLANK(F15:F16)+COUNTBLANK(F18:F19)</f>
        <v>4</v>
      </c>
      <c r="G137" s="1462">
        <f t="shared" si="89"/>
        <v>4</v>
      </c>
      <c r="H137" s="1462">
        <f t="shared" si="89"/>
        <v>0</v>
      </c>
      <c r="I137" s="1462">
        <f t="shared" si="89"/>
        <v>0</v>
      </c>
      <c r="J137" s="1462">
        <f t="shared" si="89"/>
        <v>0</v>
      </c>
      <c r="K137" s="1462">
        <f t="shared" si="89"/>
        <v>0</v>
      </c>
      <c r="L137" s="1462">
        <f t="shared" si="89"/>
        <v>4</v>
      </c>
      <c r="AI137" s="221"/>
      <c r="AK137" s="362"/>
      <c r="AL137" s="221"/>
      <c r="AN137" s="362"/>
    </row>
    <row r="138" spans="1:43" ht="42" customHeight="1">
      <c r="B138" s="163" t="s">
        <v>1748</v>
      </c>
      <c r="F138" s="464">
        <f t="shared" ref="F138:L138" si="90">COUNTBLANK(F20:F25)</f>
        <v>6</v>
      </c>
      <c r="G138" s="464">
        <f t="shared" si="90"/>
        <v>6</v>
      </c>
      <c r="H138" s="464">
        <f t="shared" si="90"/>
        <v>0</v>
      </c>
      <c r="I138" s="464">
        <f t="shared" si="90"/>
        <v>0</v>
      </c>
      <c r="J138" s="464">
        <f t="shared" si="90"/>
        <v>0</v>
      </c>
      <c r="K138" s="464">
        <f t="shared" si="90"/>
        <v>0</v>
      </c>
      <c r="L138" s="464">
        <f t="shared" si="90"/>
        <v>6</v>
      </c>
      <c r="AI138" s="400"/>
      <c r="AJ138" s="401"/>
      <c r="AK138" s="362"/>
      <c r="AL138" s="400"/>
      <c r="AM138" s="401"/>
      <c r="AN138" s="362"/>
    </row>
    <row r="139" spans="1:43" ht="42" customHeight="1">
      <c r="B139" s="163" t="s">
        <v>1749</v>
      </c>
      <c r="F139" s="464">
        <f t="shared" ref="F139:L139" si="91">COUNTBLANK(F26:F29)</f>
        <v>4</v>
      </c>
      <c r="G139" s="464">
        <f t="shared" si="91"/>
        <v>4</v>
      </c>
      <c r="H139" s="464">
        <f t="shared" si="91"/>
        <v>0</v>
      </c>
      <c r="I139" s="464">
        <f t="shared" si="91"/>
        <v>0</v>
      </c>
      <c r="J139" s="464">
        <f t="shared" si="91"/>
        <v>0</v>
      </c>
      <c r="K139" s="464">
        <f t="shared" si="91"/>
        <v>0</v>
      </c>
      <c r="L139" s="464">
        <f t="shared" si="91"/>
        <v>4</v>
      </c>
      <c r="AI139" s="400"/>
      <c r="AJ139" s="401"/>
      <c r="AK139" s="362"/>
      <c r="AL139" s="400"/>
      <c r="AM139" s="401"/>
      <c r="AN139" s="362"/>
    </row>
    <row r="140" spans="1:43" ht="42" customHeight="1">
      <c r="B140" s="163" t="s">
        <v>1750</v>
      </c>
      <c r="F140" s="464">
        <f t="shared" ref="F140:L140" si="92">COUNTBLANK(F14)</f>
        <v>1</v>
      </c>
      <c r="G140" s="464">
        <f t="shared" si="92"/>
        <v>1</v>
      </c>
      <c r="H140" s="464">
        <f t="shared" si="92"/>
        <v>0</v>
      </c>
      <c r="I140" s="464">
        <f t="shared" si="92"/>
        <v>0</v>
      </c>
      <c r="J140" s="464">
        <f t="shared" si="92"/>
        <v>0</v>
      </c>
      <c r="K140" s="464">
        <f t="shared" si="92"/>
        <v>0</v>
      </c>
      <c r="L140" s="464">
        <f t="shared" si="92"/>
        <v>1</v>
      </c>
      <c r="AI140" s="400"/>
      <c r="AJ140" s="401"/>
      <c r="AK140" s="362"/>
      <c r="AL140" s="400"/>
      <c r="AM140" s="401"/>
      <c r="AN140" s="362"/>
    </row>
    <row r="141" spans="1:43" ht="42" customHeight="1">
      <c r="B141" s="163" t="s">
        <v>1751</v>
      </c>
      <c r="F141" s="1461">
        <f>F136+F137</f>
        <v>8</v>
      </c>
      <c r="G141" s="1461">
        <f t="shared" ref="G141:L141" si="93">G136+G137</f>
        <v>4</v>
      </c>
      <c r="H141" s="1461">
        <f t="shared" si="93"/>
        <v>0</v>
      </c>
      <c r="I141" s="1461">
        <f t="shared" si="93"/>
        <v>0</v>
      </c>
      <c r="J141" s="1461">
        <f t="shared" si="93"/>
        <v>0</v>
      </c>
      <c r="K141" s="1461">
        <f t="shared" si="93"/>
        <v>0</v>
      </c>
      <c r="L141" s="1461">
        <f t="shared" si="93"/>
        <v>8</v>
      </c>
      <c r="AI141" s="400"/>
      <c r="AJ141" s="401"/>
      <c r="AK141" s="362"/>
      <c r="AL141" s="400"/>
      <c r="AM141" s="401"/>
      <c r="AN141" s="362"/>
    </row>
    <row r="142" spans="1:43" s="1469" customFormat="1" ht="42" customHeight="1" thickBot="1">
      <c r="A142" s="1463"/>
      <c r="B142" s="1464" t="s">
        <v>1753</v>
      </c>
      <c r="C142" s="1465"/>
      <c r="D142" s="1466"/>
      <c r="E142" s="1467"/>
      <c r="F142" s="1468">
        <f>F136+F137+F138</f>
        <v>14</v>
      </c>
      <c r="G142" s="1468">
        <f t="shared" ref="G142:L142" si="94">G136+G137+G138</f>
        <v>10</v>
      </c>
      <c r="H142" s="1468">
        <f t="shared" si="94"/>
        <v>0</v>
      </c>
      <c r="I142" s="1468">
        <f t="shared" si="94"/>
        <v>0</v>
      </c>
      <c r="J142" s="1468">
        <f t="shared" si="94"/>
        <v>0</v>
      </c>
      <c r="K142" s="1468">
        <f t="shared" si="94"/>
        <v>0</v>
      </c>
      <c r="L142" s="1468">
        <f t="shared" si="94"/>
        <v>14</v>
      </c>
      <c r="N142" s="1480"/>
      <c r="Z142" s="1467"/>
      <c r="AA142" s="1467"/>
      <c r="AB142" s="1467"/>
      <c r="AG142" s="1470"/>
      <c r="AI142" s="1471"/>
      <c r="AJ142" s="1472"/>
      <c r="AK142" s="1473"/>
      <c r="AL142" s="1471"/>
      <c r="AM142" s="1472"/>
      <c r="AN142" s="1473"/>
      <c r="AQ142" s="1470"/>
    </row>
    <row r="143" spans="1:43" ht="42" customHeight="1" thickTop="1">
      <c r="AI143" s="400"/>
      <c r="AJ143" s="401"/>
      <c r="AK143" s="362"/>
      <c r="AL143" s="400"/>
      <c r="AM143" s="401"/>
      <c r="AN143" s="362"/>
    </row>
    <row r="144" spans="1:43" ht="42" customHeight="1">
      <c r="AI144" s="400"/>
      <c r="AJ144" s="401"/>
      <c r="AK144" s="362"/>
      <c r="AL144" s="400"/>
      <c r="AM144" s="401"/>
      <c r="AN144" s="362"/>
    </row>
    <row r="145" spans="35:40" ht="42" customHeight="1">
      <c r="AI145" s="400"/>
      <c r="AJ145" s="401"/>
      <c r="AK145" s="362"/>
      <c r="AL145" s="400"/>
      <c r="AM145" s="401"/>
      <c r="AN145" s="362"/>
    </row>
    <row r="146" spans="35:40" ht="42" customHeight="1">
      <c r="AI146" s="400"/>
      <c r="AJ146" s="401"/>
      <c r="AK146" s="362"/>
      <c r="AL146" s="400"/>
      <c r="AM146" s="401"/>
      <c r="AN146" s="362"/>
    </row>
    <row r="147" spans="35:40" ht="42" customHeight="1">
      <c r="AI147" s="400"/>
      <c r="AJ147" s="401"/>
      <c r="AK147" s="362"/>
      <c r="AL147" s="221"/>
      <c r="AM147" s="347"/>
      <c r="AN147" s="362"/>
    </row>
    <row r="148" spans="35:40" ht="42" customHeight="1">
      <c r="AI148" s="400"/>
      <c r="AJ148" s="401"/>
      <c r="AK148" s="362"/>
      <c r="AL148" s="400"/>
      <c r="AM148" s="401"/>
      <c r="AN148" s="362"/>
    </row>
    <row r="149" spans="35:40" ht="42" customHeight="1">
      <c r="AI149" s="221"/>
      <c r="AJ149" s="347"/>
      <c r="AK149" s="362"/>
      <c r="AL149" s="404"/>
      <c r="AM149" s="405"/>
      <c r="AN149" s="362"/>
    </row>
    <row r="150" spans="35:40" ht="42" customHeight="1">
      <c r="AI150" s="400"/>
      <c r="AJ150" s="401"/>
      <c r="AK150" s="362"/>
      <c r="AL150" s="400"/>
      <c r="AM150" s="401"/>
      <c r="AN150" s="362"/>
    </row>
    <row r="151" spans="35:40" ht="42" customHeight="1">
      <c r="AI151" s="221"/>
      <c r="AJ151" s="347"/>
      <c r="AK151" s="362"/>
      <c r="AL151" s="221"/>
      <c r="AM151" s="347"/>
      <c r="AN151" s="362"/>
    </row>
    <row r="152" spans="35:40" ht="42" customHeight="1">
      <c r="AI152" s="400"/>
      <c r="AJ152" s="401"/>
      <c r="AK152" s="399"/>
      <c r="AL152" s="400"/>
      <c r="AM152" s="401"/>
      <c r="AN152" s="362"/>
    </row>
    <row r="153" spans="35:40" ht="42" customHeight="1">
      <c r="AI153" s="406"/>
      <c r="AJ153" s="407"/>
      <c r="AK153" s="399"/>
      <c r="AL153" s="406"/>
      <c r="AM153" s="407"/>
      <c r="AN153" s="399"/>
    </row>
    <row r="154" spans="35:40" ht="42" customHeight="1">
      <c r="AI154" s="400"/>
      <c r="AJ154" s="401"/>
      <c r="AK154" s="399"/>
      <c r="AL154" s="400"/>
      <c r="AM154" s="401"/>
      <c r="AN154" s="399"/>
    </row>
    <row r="155" spans="35:40" ht="42" customHeight="1">
      <c r="AI155" s="400"/>
      <c r="AJ155" s="401"/>
      <c r="AK155" s="399"/>
      <c r="AL155" s="400"/>
      <c r="AM155" s="401"/>
      <c r="AN155" s="399"/>
    </row>
    <row r="156" spans="35:40" ht="42" customHeight="1">
      <c r="AI156" s="400"/>
      <c r="AJ156" s="401"/>
      <c r="AK156" s="399"/>
      <c r="AL156" s="400"/>
      <c r="AM156" s="401"/>
      <c r="AN156" s="399"/>
    </row>
    <row r="157" spans="35:40" ht="42" customHeight="1">
      <c r="AI157" s="406"/>
      <c r="AJ157" s="407"/>
      <c r="AK157" s="399"/>
      <c r="AL157" s="406"/>
      <c r="AM157" s="407"/>
      <c r="AN157" s="399"/>
    </row>
    <row r="158" spans="35:40" ht="42" customHeight="1">
      <c r="AI158" s="400"/>
      <c r="AJ158" s="401"/>
      <c r="AK158" s="399"/>
      <c r="AL158" s="400"/>
      <c r="AM158" s="401"/>
      <c r="AN158" s="399"/>
    </row>
    <row r="159" spans="35:40" ht="42" customHeight="1">
      <c r="AI159" s="406"/>
      <c r="AJ159" s="407"/>
      <c r="AK159" s="399"/>
      <c r="AL159" s="406"/>
      <c r="AM159" s="407"/>
      <c r="AN159" s="399"/>
    </row>
    <row r="160" spans="35:40" ht="42" customHeight="1">
      <c r="AI160" s="221"/>
      <c r="AJ160" s="347"/>
      <c r="AK160" s="399"/>
      <c r="AL160" s="221"/>
      <c r="AM160" s="347"/>
      <c r="AN160" s="399"/>
    </row>
    <row r="161" spans="35:40" ht="42" customHeight="1">
      <c r="AI161" s="400"/>
      <c r="AJ161" s="401"/>
      <c r="AK161" s="399"/>
      <c r="AL161" s="400"/>
      <c r="AM161" s="401"/>
      <c r="AN161" s="399"/>
    </row>
    <row r="162" spans="35:40" ht="42" customHeight="1">
      <c r="AI162" s="221"/>
      <c r="AJ162" s="347"/>
      <c r="AK162" s="399"/>
      <c r="AL162" s="221"/>
      <c r="AM162" s="347"/>
      <c r="AN162" s="399"/>
    </row>
    <row r="163" spans="35:40" ht="42" customHeight="1">
      <c r="AI163" s="400"/>
      <c r="AJ163" s="401"/>
      <c r="AK163" s="399"/>
      <c r="AL163" s="400"/>
      <c r="AM163" s="401"/>
      <c r="AN163" s="399"/>
    </row>
    <row r="164" spans="35:40" ht="42" customHeight="1">
      <c r="AI164" s="400"/>
      <c r="AJ164" s="401"/>
      <c r="AK164" s="399"/>
      <c r="AL164" s="400"/>
      <c r="AM164" s="401"/>
      <c r="AN164" s="399"/>
    </row>
    <row r="165" spans="35:40" ht="42" customHeight="1">
      <c r="AI165" s="400"/>
      <c r="AJ165" s="401"/>
      <c r="AK165" s="399"/>
      <c r="AL165" s="400"/>
      <c r="AM165" s="401"/>
      <c r="AN165" s="399"/>
    </row>
    <row r="166" spans="35:40" ht="42" customHeight="1">
      <c r="AI166" s="400"/>
      <c r="AJ166" s="401"/>
      <c r="AK166" s="399"/>
      <c r="AL166" s="400"/>
      <c r="AM166" s="401"/>
      <c r="AN166" s="399"/>
    </row>
    <row r="167" spans="35:40" ht="42" customHeight="1">
      <c r="AI167" s="406"/>
      <c r="AJ167" s="407"/>
      <c r="AK167" s="399"/>
      <c r="AL167" s="406"/>
      <c r="AM167" s="407"/>
      <c r="AN167" s="399"/>
    </row>
    <row r="168" spans="35:40" ht="42" customHeight="1">
      <c r="AI168" s="400"/>
      <c r="AJ168" s="401"/>
      <c r="AK168" s="399"/>
      <c r="AL168" s="400"/>
      <c r="AM168" s="401"/>
      <c r="AN168" s="399"/>
    </row>
    <row r="169" spans="35:40" ht="42" customHeight="1">
      <c r="AI169" s="400"/>
      <c r="AJ169" s="401"/>
      <c r="AK169" s="399"/>
      <c r="AL169" s="400"/>
      <c r="AM169" s="401"/>
      <c r="AN169" s="399"/>
    </row>
    <row r="170" spans="35:40" ht="42" customHeight="1">
      <c r="AI170" s="400"/>
      <c r="AJ170" s="401"/>
      <c r="AK170" s="399"/>
      <c r="AL170" s="400"/>
      <c r="AM170" s="401"/>
      <c r="AN170" s="399"/>
    </row>
    <row r="171" spans="35:40" ht="42" customHeight="1">
      <c r="AI171" s="400"/>
      <c r="AJ171" s="401"/>
      <c r="AK171" s="399"/>
      <c r="AL171" s="400"/>
      <c r="AM171" s="401"/>
      <c r="AN171" s="399"/>
    </row>
    <row r="172" spans="35:40" ht="42" customHeight="1">
      <c r="AI172" s="400"/>
      <c r="AJ172" s="401"/>
      <c r="AK172" s="399"/>
      <c r="AL172" s="400"/>
      <c r="AM172" s="401"/>
      <c r="AN172" s="399"/>
    </row>
    <row r="173" spans="35:40" ht="42" customHeight="1">
      <c r="AI173" s="400"/>
      <c r="AJ173" s="401"/>
      <c r="AK173" s="399"/>
      <c r="AL173" s="400"/>
      <c r="AM173" s="401"/>
      <c r="AN173" s="399"/>
    </row>
    <row r="174" spans="35:40" ht="42" customHeight="1">
      <c r="AI174" s="400"/>
      <c r="AJ174" s="401"/>
      <c r="AK174" s="399"/>
      <c r="AL174" s="400"/>
      <c r="AM174" s="401"/>
      <c r="AN174" s="399"/>
    </row>
    <row r="175" spans="35:40" ht="42" customHeight="1">
      <c r="AI175" s="406"/>
      <c r="AJ175" s="407"/>
      <c r="AK175" s="399"/>
      <c r="AL175" s="406"/>
      <c r="AM175" s="407"/>
      <c r="AN175" s="399"/>
    </row>
    <row r="176" spans="35:40" ht="42" customHeight="1">
      <c r="AI176" s="400"/>
      <c r="AJ176" s="401"/>
      <c r="AK176" s="399"/>
      <c r="AL176" s="400"/>
      <c r="AM176" s="401"/>
      <c r="AN176" s="399"/>
    </row>
    <row r="177" spans="35:40" ht="42" customHeight="1">
      <c r="AI177" s="400"/>
      <c r="AJ177" s="401"/>
      <c r="AK177" s="399"/>
      <c r="AL177" s="400"/>
      <c r="AM177" s="401"/>
      <c r="AN177" s="399"/>
    </row>
    <row r="178" spans="35:40" ht="42" customHeight="1">
      <c r="AI178" s="400"/>
      <c r="AJ178" s="401"/>
      <c r="AK178" s="399"/>
      <c r="AL178" s="400"/>
      <c r="AM178" s="401"/>
      <c r="AN178" s="399"/>
    </row>
    <row r="179" spans="35:40" ht="42" customHeight="1">
      <c r="AI179" s="400"/>
      <c r="AJ179" s="401"/>
      <c r="AK179" s="399"/>
      <c r="AL179" s="400"/>
      <c r="AM179" s="401"/>
      <c r="AN179" s="399"/>
    </row>
    <row r="180" spans="35:40" ht="42" customHeight="1">
      <c r="AI180" s="400"/>
      <c r="AJ180" s="401"/>
      <c r="AK180" s="399"/>
      <c r="AL180" s="400"/>
      <c r="AM180" s="401"/>
      <c r="AN180" s="399"/>
    </row>
    <row r="181" spans="35:40" ht="42" customHeight="1">
      <c r="AI181" s="406"/>
      <c r="AJ181" s="407"/>
      <c r="AK181" s="399"/>
      <c r="AL181" s="406"/>
      <c r="AM181" s="407"/>
      <c r="AN181" s="399"/>
    </row>
    <row r="182" spans="35:40" ht="42" customHeight="1">
      <c r="AI182" s="400"/>
      <c r="AJ182" s="401"/>
      <c r="AK182" s="399"/>
      <c r="AL182" s="400"/>
      <c r="AM182" s="401"/>
      <c r="AN182" s="399"/>
    </row>
    <row r="183" spans="35:40" ht="42" customHeight="1">
      <c r="AI183" s="400"/>
      <c r="AJ183" s="401"/>
      <c r="AK183" s="399"/>
      <c r="AL183" s="400"/>
      <c r="AM183" s="401"/>
      <c r="AN183" s="399"/>
    </row>
    <row r="184" spans="35:40" ht="42" customHeight="1">
      <c r="AI184" s="400"/>
      <c r="AJ184" s="401"/>
      <c r="AK184" s="399"/>
      <c r="AL184" s="400"/>
      <c r="AM184" s="401"/>
      <c r="AN184" s="399"/>
    </row>
    <row r="185" spans="35:40" ht="42" customHeight="1">
      <c r="AI185" s="400"/>
      <c r="AJ185" s="401"/>
      <c r="AK185" s="399"/>
      <c r="AL185" s="400"/>
      <c r="AM185" s="401"/>
      <c r="AN185" s="399"/>
    </row>
    <row r="186" spans="35:40" ht="42" customHeight="1">
      <c r="AI186" s="400"/>
      <c r="AJ186" s="401"/>
      <c r="AK186" s="399"/>
      <c r="AL186" s="400"/>
      <c r="AM186" s="401"/>
      <c r="AN186" s="399"/>
    </row>
    <row r="187" spans="35:40" ht="42" customHeight="1">
      <c r="AI187" s="400"/>
      <c r="AJ187" s="401"/>
      <c r="AK187" s="399"/>
      <c r="AL187" s="400"/>
      <c r="AM187" s="401"/>
      <c r="AN187" s="399"/>
    </row>
    <row r="188" spans="35:40" ht="42" customHeight="1">
      <c r="AI188" s="400"/>
      <c r="AJ188" s="401"/>
      <c r="AK188" s="399"/>
      <c r="AL188" s="400"/>
      <c r="AM188" s="401"/>
      <c r="AN188" s="399"/>
    </row>
    <row r="189" spans="35:40" ht="42" customHeight="1">
      <c r="AI189" s="400"/>
      <c r="AJ189" s="401"/>
      <c r="AK189" s="399"/>
      <c r="AL189" s="400"/>
      <c r="AM189" s="401"/>
      <c r="AN189" s="399"/>
    </row>
    <row r="190" spans="35:40" ht="42" customHeight="1">
      <c r="AI190" s="400"/>
      <c r="AJ190" s="401"/>
      <c r="AK190" s="399"/>
      <c r="AL190" s="400"/>
      <c r="AM190" s="401"/>
      <c r="AN190" s="399"/>
    </row>
    <row r="191" spans="35:40" ht="42" customHeight="1">
      <c r="AI191" s="400"/>
      <c r="AJ191" s="401"/>
      <c r="AK191" s="399"/>
      <c r="AL191" s="400"/>
      <c r="AM191" s="401"/>
      <c r="AN191" s="399"/>
    </row>
    <row r="192" spans="35:40" ht="42" customHeight="1">
      <c r="AI192" s="400"/>
      <c r="AJ192" s="401"/>
      <c r="AK192" s="399"/>
      <c r="AL192" s="400"/>
      <c r="AM192" s="401"/>
      <c r="AN192" s="399"/>
    </row>
    <row r="193" spans="35:40" ht="42" customHeight="1">
      <c r="AI193" s="400"/>
      <c r="AJ193" s="401"/>
      <c r="AK193" s="399"/>
      <c r="AL193" s="400"/>
      <c r="AM193" s="401"/>
      <c r="AN193" s="399"/>
    </row>
    <row r="194" spans="35:40" ht="42" customHeight="1">
      <c r="AI194" s="400"/>
      <c r="AJ194" s="401"/>
      <c r="AK194" s="399"/>
      <c r="AL194" s="400"/>
      <c r="AM194" s="401"/>
      <c r="AN194" s="399"/>
    </row>
    <row r="195" spans="35:40" ht="42" customHeight="1">
      <c r="AI195" s="400"/>
      <c r="AJ195" s="401"/>
      <c r="AK195" s="399"/>
      <c r="AL195" s="400"/>
      <c r="AM195" s="401"/>
      <c r="AN195" s="399"/>
    </row>
    <row r="196" spans="35:40" ht="42" customHeight="1">
      <c r="AI196" s="400"/>
      <c r="AJ196" s="401"/>
      <c r="AK196" s="399"/>
      <c r="AL196" s="400"/>
      <c r="AM196" s="401"/>
      <c r="AN196" s="399"/>
    </row>
    <row r="197" spans="35:40" ht="42" customHeight="1">
      <c r="AI197" s="221"/>
      <c r="AJ197" s="347"/>
      <c r="AK197" s="399"/>
      <c r="AL197" s="221"/>
      <c r="AM197" s="347"/>
      <c r="AN197" s="399"/>
    </row>
    <row r="198" spans="35:40" ht="42" customHeight="1">
      <c r="AI198" s="221"/>
      <c r="AJ198" s="347"/>
      <c r="AK198" s="399"/>
      <c r="AL198" s="221"/>
      <c r="AM198" s="347"/>
      <c r="AN198" s="399"/>
    </row>
    <row r="199" spans="35:40" ht="42" customHeight="1">
      <c r="AI199" s="400"/>
      <c r="AJ199" s="401"/>
      <c r="AK199" s="399"/>
      <c r="AL199" s="400"/>
      <c r="AM199" s="401"/>
      <c r="AN199" s="399"/>
    </row>
    <row r="200" spans="35:40" ht="42" customHeight="1">
      <c r="AI200" s="400"/>
      <c r="AJ200" s="401"/>
      <c r="AK200" s="399"/>
      <c r="AL200" s="400"/>
      <c r="AM200" s="401"/>
      <c r="AN200" s="399"/>
    </row>
    <row r="201" spans="35:40" ht="42" customHeight="1">
      <c r="AI201" s="400"/>
      <c r="AJ201" s="401"/>
      <c r="AK201" s="399"/>
      <c r="AL201" s="400"/>
      <c r="AM201" s="401"/>
      <c r="AN201" s="399"/>
    </row>
    <row r="202" spans="35:40" ht="42" customHeight="1">
      <c r="AI202" s="400"/>
      <c r="AJ202" s="401"/>
      <c r="AK202" s="399"/>
      <c r="AL202" s="400"/>
      <c r="AM202" s="401"/>
      <c r="AN202" s="399"/>
    </row>
    <row r="203" spans="35:40" ht="42" customHeight="1">
      <c r="AI203" s="400"/>
      <c r="AJ203" s="401"/>
      <c r="AK203" s="399"/>
      <c r="AL203" s="400"/>
      <c r="AM203" s="401"/>
      <c r="AN203" s="399"/>
    </row>
    <row r="204" spans="35:40" ht="42" customHeight="1">
      <c r="AI204" s="400"/>
      <c r="AJ204" s="401"/>
      <c r="AK204" s="399"/>
      <c r="AL204" s="400"/>
      <c r="AM204" s="401"/>
      <c r="AN204" s="399"/>
    </row>
    <row r="205" spans="35:40" ht="42" customHeight="1">
      <c r="AI205" s="400"/>
      <c r="AJ205" s="401"/>
      <c r="AK205" s="399"/>
      <c r="AL205" s="400"/>
      <c r="AM205" s="401"/>
      <c r="AN205" s="399"/>
    </row>
    <row r="206" spans="35:40" ht="42" customHeight="1">
      <c r="AI206" s="400"/>
      <c r="AJ206" s="401"/>
      <c r="AK206" s="399"/>
      <c r="AL206" s="400"/>
      <c r="AM206" s="401"/>
      <c r="AN206" s="399"/>
    </row>
    <row r="207" spans="35:40" ht="42" customHeight="1">
      <c r="AI207" s="400"/>
      <c r="AJ207" s="401"/>
      <c r="AK207" s="399"/>
      <c r="AL207" s="400"/>
      <c r="AM207" s="401"/>
      <c r="AN207" s="399"/>
    </row>
    <row r="208" spans="35:40" ht="42" customHeight="1">
      <c r="AI208" s="400"/>
      <c r="AJ208" s="401"/>
      <c r="AK208" s="399"/>
      <c r="AL208" s="400"/>
      <c r="AM208" s="401"/>
      <c r="AN208" s="399"/>
    </row>
    <row r="209" spans="35:40" ht="42" customHeight="1">
      <c r="AI209" s="400"/>
      <c r="AJ209" s="401"/>
      <c r="AK209" s="399"/>
      <c r="AL209" s="400"/>
      <c r="AM209" s="401"/>
      <c r="AN209" s="399"/>
    </row>
    <row r="210" spans="35:40" ht="42" customHeight="1">
      <c r="AI210" s="400"/>
      <c r="AJ210" s="401"/>
      <c r="AK210" s="399"/>
      <c r="AL210" s="400"/>
      <c r="AM210" s="401"/>
      <c r="AN210" s="399"/>
    </row>
    <row r="211" spans="35:40" ht="42" customHeight="1">
      <c r="AI211" s="400"/>
      <c r="AJ211" s="401"/>
      <c r="AK211" s="399"/>
      <c r="AL211" s="400"/>
      <c r="AM211" s="401"/>
      <c r="AN211" s="399"/>
    </row>
    <row r="212" spans="35:40" ht="42" customHeight="1">
      <c r="AI212" s="400"/>
      <c r="AJ212" s="401"/>
      <c r="AK212" s="399"/>
      <c r="AL212" s="400"/>
      <c r="AM212" s="401"/>
      <c r="AN212" s="399"/>
    </row>
    <row r="213" spans="35:40" ht="42" customHeight="1">
      <c r="AI213" s="400"/>
      <c r="AJ213" s="401"/>
      <c r="AK213" s="399"/>
      <c r="AL213" s="400"/>
      <c r="AM213" s="401"/>
      <c r="AN213" s="399"/>
    </row>
    <row r="214" spans="35:40" ht="42" customHeight="1">
      <c r="AI214" s="400"/>
      <c r="AJ214" s="401"/>
      <c r="AK214" s="399"/>
      <c r="AL214" s="400"/>
      <c r="AM214" s="401"/>
      <c r="AN214" s="399"/>
    </row>
    <row r="215" spans="35:40" ht="42" customHeight="1">
      <c r="AI215" s="400"/>
      <c r="AJ215" s="401"/>
      <c r="AK215" s="399"/>
      <c r="AL215" s="400"/>
      <c r="AM215" s="401"/>
      <c r="AN215" s="399"/>
    </row>
    <row r="216" spans="35:40" ht="42" customHeight="1">
      <c r="AI216" s="221"/>
      <c r="AJ216" s="347"/>
      <c r="AK216" s="399"/>
      <c r="AL216" s="221"/>
      <c r="AM216" s="347"/>
      <c r="AN216" s="399"/>
    </row>
    <row r="217" spans="35:40" ht="42" customHeight="1">
      <c r="AI217" s="400"/>
      <c r="AJ217" s="401"/>
      <c r="AK217" s="399"/>
      <c r="AL217" s="400"/>
      <c r="AM217" s="401"/>
      <c r="AN217" s="399"/>
    </row>
    <row r="218" spans="35:40" ht="42" customHeight="1">
      <c r="AI218" s="408"/>
      <c r="AJ218" s="409"/>
      <c r="AK218" s="399"/>
      <c r="AL218" s="408"/>
      <c r="AM218" s="409"/>
      <c r="AN218" s="399"/>
    </row>
    <row r="219" spans="35:40" ht="42" customHeight="1">
      <c r="AI219" s="408"/>
      <c r="AJ219" s="409"/>
      <c r="AK219" s="399"/>
      <c r="AL219" s="408"/>
      <c r="AM219" s="409"/>
      <c r="AN219" s="399"/>
    </row>
    <row r="220" spans="35:40" ht="42" customHeight="1">
      <c r="AI220" s="408"/>
      <c r="AJ220" s="409"/>
      <c r="AK220" s="399"/>
      <c r="AL220" s="408"/>
      <c r="AM220" s="409"/>
      <c r="AN220" s="399"/>
    </row>
    <row r="221" spans="35:40" ht="42" customHeight="1">
      <c r="AI221" s="400"/>
      <c r="AJ221" s="401"/>
      <c r="AK221" s="399"/>
      <c r="AL221" s="400"/>
      <c r="AM221" s="401"/>
      <c r="AN221" s="399"/>
    </row>
    <row r="222" spans="35:40" ht="42" customHeight="1">
      <c r="AI222" s="221"/>
      <c r="AJ222" s="347"/>
      <c r="AK222" s="399"/>
      <c r="AL222" s="221"/>
      <c r="AM222" s="347"/>
      <c r="AN222" s="399"/>
    </row>
    <row r="223" spans="35:40" ht="42" customHeight="1">
      <c r="AI223" s="400"/>
      <c r="AJ223" s="401"/>
      <c r="AK223" s="399"/>
      <c r="AL223" s="400"/>
      <c r="AM223" s="401"/>
      <c r="AN223" s="399"/>
    </row>
    <row r="224" spans="35:40" ht="42" customHeight="1">
      <c r="AI224" s="406"/>
      <c r="AJ224" s="407"/>
      <c r="AK224" s="399"/>
      <c r="AL224" s="406"/>
      <c r="AM224" s="407"/>
      <c r="AN224" s="399"/>
    </row>
    <row r="225" spans="35:40" ht="42" customHeight="1">
      <c r="AI225" s="400"/>
      <c r="AJ225" s="401"/>
      <c r="AK225" s="399"/>
      <c r="AL225" s="400"/>
      <c r="AM225" s="401"/>
      <c r="AN225" s="399"/>
    </row>
    <row r="226" spans="35:40" ht="42" customHeight="1">
      <c r="AI226" s="400"/>
      <c r="AJ226" s="401"/>
      <c r="AK226" s="399"/>
      <c r="AL226" s="400"/>
      <c r="AM226" s="401"/>
      <c r="AN226" s="399"/>
    </row>
    <row r="227" spans="35:40" ht="42" customHeight="1">
      <c r="AI227" s="400"/>
      <c r="AJ227" s="401"/>
      <c r="AK227" s="399"/>
      <c r="AL227" s="400"/>
      <c r="AM227" s="401"/>
      <c r="AN227" s="399"/>
    </row>
    <row r="228" spans="35:40" ht="42" customHeight="1">
      <c r="AI228" s="400"/>
      <c r="AJ228" s="401"/>
      <c r="AK228" s="399"/>
      <c r="AL228" s="400"/>
      <c r="AM228" s="401"/>
      <c r="AN228" s="399"/>
    </row>
    <row r="229" spans="35:40" ht="42" customHeight="1">
      <c r="AI229" s="400"/>
      <c r="AJ229" s="401"/>
      <c r="AK229" s="399"/>
      <c r="AL229" s="400"/>
      <c r="AM229" s="401"/>
      <c r="AN229" s="399"/>
    </row>
    <row r="230" spans="35:40" ht="42" customHeight="1">
      <c r="AI230" s="400"/>
      <c r="AJ230" s="401"/>
      <c r="AK230" s="399"/>
      <c r="AL230" s="400"/>
      <c r="AM230" s="401"/>
      <c r="AN230" s="399"/>
    </row>
    <row r="231" spans="35:40" ht="42" customHeight="1">
      <c r="AI231" s="400"/>
      <c r="AJ231" s="401"/>
      <c r="AK231" s="399"/>
      <c r="AL231" s="400"/>
      <c r="AM231" s="401"/>
      <c r="AN231" s="399"/>
    </row>
    <row r="232" spans="35:40" ht="42" customHeight="1">
      <c r="AI232" s="400"/>
      <c r="AJ232" s="401"/>
      <c r="AK232" s="399"/>
      <c r="AL232" s="400"/>
      <c r="AM232" s="401"/>
      <c r="AN232" s="399"/>
    </row>
    <row r="233" spans="35:40" ht="42" customHeight="1">
      <c r="AI233" s="400"/>
      <c r="AJ233" s="401"/>
      <c r="AK233" s="399"/>
      <c r="AL233" s="400"/>
      <c r="AM233" s="401"/>
      <c r="AN233" s="399"/>
    </row>
    <row r="234" spans="35:40" ht="42" customHeight="1">
      <c r="AI234" s="400"/>
      <c r="AJ234" s="401"/>
      <c r="AK234" s="399"/>
      <c r="AL234" s="400"/>
      <c r="AM234" s="401"/>
      <c r="AN234" s="399"/>
    </row>
    <row r="235" spans="35:40" ht="42" customHeight="1">
      <c r="AI235" s="406"/>
      <c r="AJ235" s="407"/>
      <c r="AK235" s="399"/>
      <c r="AL235" s="406"/>
      <c r="AM235" s="407"/>
      <c r="AN235" s="399"/>
    </row>
    <row r="236" spans="35:40" ht="42" customHeight="1">
      <c r="AI236" s="400"/>
      <c r="AJ236" s="401"/>
      <c r="AK236" s="399"/>
      <c r="AL236" s="400"/>
      <c r="AM236" s="401"/>
      <c r="AN236" s="399"/>
    </row>
    <row r="237" spans="35:40" ht="42" customHeight="1">
      <c r="AI237" s="400"/>
      <c r="AJ237" s="401"/>
      <c r="AK237" s="399"/>
      <c r="AL237" s="400"/>
      <c r="AM237" s="401"/>
      <c r="AN237" s="399"/>
    </row>
    <row r="238" spans="35:40" ht="42" customHeight="1">
      <c r="AI238" s="406"/>
      <c r="AJ238" s="407"/>
      <c r="AK238" s="399"/>
      <c r="AL238" s="406"/>
      <c r="AM238" s="407"/>
      <c r="AN238" s="399"/>
    </row>
    <row r="239" spans="35:40" ht="42" customHeight="1">
      <c r="AI239" s="400"/>
      <c r="AJ239" s="401"/>
      <c r="AK239" s="399"/>
      <c r="AL239" s="400"/>
      <c r="AM239" s="401"/>
      <c r="AN239" s="399"/>
    </row>
    <row r="240" spans="35:40" ht="42" customHeight="1">
      <c r="AI240" s="400"/>
      <c r="AJ240" s="401"/>
      <c r="AK240" s="399"/>
      <c r="AL240" s="400"/>
      <c r="AM240" s="401"/>
      <c r="AN240" s="399"/>
    </row>
    <row r="241" spans="35:40" ht="42" customHeight="1">
      <c r="AI241" s="400"/>
      <c r="AJ241" s="401"/>
      <c r="AK241" s="399"/>
      <c r="AL241" s="400"/>
      <c r="AM241" s="401"/>
      <c r="AN241" s="399"/>
    </row>
    <row r="242" spans="35:40" ht="42" customHeight="1">
      <c r="AI242" s="400"/>
      <c r="AJ242" s="401"/>
      <c r="AK242" s="399"/>
      <c r="AL242" s="400"/>
      <c r="AM242" s="401"/>
      <c r="AN242" s="399"/>
    </row>
    <row r="243" spans="35:40" ht="42" customHeight="1">
      <c r="AI243" s="406"/>
      <c r="AJ243" s="407"/>
      <c r="AK243" s="399"/>
      <c r="AL243" s="406"/>
      <c r="AM243" s="407"/>
      <c r="AN243" s="399"/>
    </row>
    <row r="244" spans="35:40" ht="42" customHeight="1">
      <c r="AI244" s="400"/>
      <c r="AJ244" s="401"/>
      <c r="AK244" s="399"/>
      <c r="AL244" s="400"/>
      <c r="AM244" s="401"/>
      <c r="AN244" s="399"/>
    </row>
    <row r="245" spans="35:40" ht="42" customHeight="1">
      <c r="AI245" s="406"/>
      <c r="AJ245" s="407"/>
      <c r="AK245" s="399"/>
      <c r="AL245" s="406"/>
      <c r="AM245" s="407"/>
      <c r="AN245" s="399"/>
    </row>
    <row r="246" spans="35:40" ht="42" customHeight="1">
      <c r="AI246" s="400"/>
      <c r="AJ246" s="401"/>
      <c r="AK246" s="399"/>
      <c r="AL246" s="400"/>
      <c r="AM246" s="401"/>
      <c r="AN246" s="399"/>
    </row>
    <row r="247" spans="35:40" ht="42" customHeight="1">
      <c r="AI247" s="406"/>
      <c r="AJ247" s="407"/>
      <c r="AK247" s="399"/>
      <c r="AL247" s="406"/>
      <c r="AM247" s="407"/>
      <c r="AN247" s="399"/>
    </row>
    <row r="248" spans="35:40" ht="42" customHeight="1">
      <c r="AI248" s="400"/>
      <c r="AJ248" s="401"/>
      <c r="AK248" s="399"/>
      <c r="AL248" s="400"/>
      <c r="AM248" s="401"/>
      <c r="AN248" s="399"/>
    </row>
    <row r="249" spans="35:40" ht="42" customHeight="1">
      <c r="AI249" s="400"/>
      <c r="AJ249" s="401"/>
      <c r="AK249" s="399"/>
      <c r="AL249" s="400"/>
      <c r="AM249" s="401"/>
      <c r="AN249" s="399"/>
    </row>
    <row r="250" spans="35:40" ht="42" customHeight="1">
      <c r="AI250" s="400"/>
      <c r="AJ250" s="401"/>
      <c r="AK250" s="399"/>
      <c r="AL250" s="400"/>
      <c r="AM250" s="401"/>
      <c r="AN250" s="399"/>
    </row>
    <row r="251" spans="35:40" ht="42" customHeight="1">
      <c r="AI251" s="406"/>
      <c r="AJ251" s="407"/>
      <c r="AK251" s="399"/>
      <c r="AL251" s="406"/>
      <c r="AM251" s="407"/>
      <c r="AN251" s="399"/>
    </row>
    <row r="252" spans="35:40" ht="42" customHeight="1">
      <c r="AI252" s="400"/>
      <c r="AJ252" s="401"/>
      <c r="AK252" s="399"/>
      <c r="AL252" s="400"/>
      <c r="AM252" s="401"/>
      <c r="AN252" s="399"/>
    </row>
    <row r="253" spans="35:40" ht="42" customHeight="1">
      <c r="AI253" s="400"/>
      <c r="AJ253" s="401"/>
      <c r="AK253" s="399"/>
      <c r="AL253" s="400"/>
      <c r="AM253" s="401"/>
      <c r="AN253" s="399"/>
    </row>
    <row r="254" spans="35:40" ht="42" customHeight="1">
      <c r="AI254" s="400"/>
      <c r="AJ254" s="401"/>
      <c r="AK254" s="399"/>
      <c r="AL254" s="400"/>
      <c r="AM254" s="401"/>
      <c r="AN254" s="399"/>
    </row>
    <row r="255" spans="35:40" ht="42" customHeight="1">
      <c r="AI255" s="400"/>
      <c r="AJ255" s="401"/>
      <c r="AK255" s="399"/>
      <c r="AL255" s="400"/>
      <c r="AM255" s="401"/>
      <c r="AN255" s="399"/>
    </row>
    <row r="256" spans="35:40" ht="42" customHeight="1">
      <c r="AI256" s="400"/>
      <c r="AJ256" s="401"/>
      <c r="AK256" s="399"/>
      <c r="AL256" s="400"/>
      <c r="AM256" s="401"/>
      <c r="AN256" s="399"/>
    </row>
    <row r="257" spans="35:40" ht="42" customHeight="1">
      <c r="AI257" s="400"/>
      <c r="AJ257" s="401"/>
      <c r="AK257" s="399"/>
      <c r="AL257" s="400"/>
      <c r="AM257" s="401"/>
      <c r="AN257" s="399"/>
    </row>
    <row r="258" spans="35:40" ht="42" customHeight="1">
      <c r="AI258" s="400"/>
      <c r="AJ258" s="401"/>
      <c r="AK258" s="399"/>
      <c r="AL258" s="400"/>
      <c r="AM258" s="401"/>
      <c r="AN258" s="399"/>
    </row>
    <row r="259" spans="35:40" ht="42" customHeight="1">
      <c r="AI259" s="400"/>
      <c r="AJ259" s="401"/>
      <c r="AK259" s="399"/>
      <c r="AL259" s="400"/>
      <c r="AM259" s="401"/>
      <c r="AN259" s="399"/>
    </row>
    <row r="260" spans="35:40" ht="42" customHeight="1">
      <c r="AI260" s="400"/>
      <c r="AJ260" s="401"/>
      <c r="AK260" s="399"/>
      <c r="AL260" s="400"/>
      <c r="AM260" s="401"/>
      <c r="AN260" s="399"/>
    </row>
    <row r="261" spans="35:40" ht="42" customHeight="1">
      <c r="AI261" s="400"/>
      <c r="AJ261" s="401"/>
      <c r="AK261" s="399"/>
      <c r="AL261" s="400"/>
      <c r="AM261" s="401"/>
      <c r="AN261" s="399"/>
    </row>
    <row r="262" spans="35:40" ht="42" customHeight="1">
      <c r="AI262" s="400"/>
      <c r="AJ262" s="401"/>
      <c r="AK262" s="399"/>
      <c r="AL262" s="400"/>
      <c r="AM262" s="401"/>
      <c r="AN262" s="399"/>
    </row>
    <row r="263" spans="35:40" ht="42" customHeight="1">
      <c r="AI263" s="221"/>
      <c r="AK263" s="399"/>
      <c r="AL263" s="221"/>
      <c r="AN263" s="399"/>
    </row>
    <row r="264" spans="35:40" ht="42" customHeight="1">
      <c r="AI264" s="400"/>
      <c r="AJ264" s="401"/>
      <c r="AK264" s="399"/>
      <c r="AL264" s="400"/>
      <c r="AM264" s="401"/>
      <c r="AN264" s="399"/>
    </row>
    <row r="265" spans="35:40" ht="42" customHeight="1">
      <c r="AI265" s="400"/>
      <c r="AJ265" s="401"/>
      <c r="AK265" s="399"/>
      <c r="AL265" s="400"/>
      <c r="AM265" s="401"/>
      <c r="AN265" s="399"/>
    </row>
    <row r="266" spans="35:40" ht="42" customHeight="1">
      <c r="AI266" s="400"/>
      <c r="AJ266" s="401"/>
      <c r="AK266" s="399"/>
      <c r="AL266" s="400"/>
      <c r="AM266" s="401"/>
      <c r="AN266" s="399"/>
    </row>
    <row r="267" spans="35:40" ht="42" customHeight="1">
      <c r="AI267" s="400"/>
      <c r="AJ267" s="401"/>
      <c r="AK267" s="399"/>
      <c r="AL267" s="400"/>
      <c r="AM267" s="401"/>
      <c r="AN267" s="399"/>
    </row>
    <row r="268" spans="35:40" ht="42" customHeight="1">
      <c r="AI268" s="400"/>
      <c r="AJ268" s="401"/>
      <c r="AK268" s="399"/>
      <c r="AL268" s="400"/>
      <c r="AM268" s="401"/>
      <c r="AN268" s="399"/>
    </row>
    <row r="269" spans="35:40" ht="42" customHeight="1">
      <c r="AI269" s="406"/>
      <c r="AJ269" s="407"/>
      <c r="AK269" s="399"/>
      <c r="AL269" s="406"/>
      <c r="AM269" s="407"/>
      <c r="AN269" s="399"/>
    </row>
    <row r="270" spans="35:40" ht="42" customHeight="1">
      <c r="AI270" s="408"/>
      <c r="AJ270" s="409"/>
      <c r="AK270" s="399"/>
      <c r="AL270" s="408"/>
      <c r="AM270" s="409"/>
      <c r="AN270" s="399"/>
    </row>
    <row r="271" spans="35:40" ht="42" customHeight="1">
      <c r="AI271" s="400"/>
      <c r="AJ271" s="401"/>
      <c r="AK271" s="399"/>
      <c r="AL271" s="400"/>
      <c r="AM271" s="401"/>
      <c r="AN271" s="399"/>
    </row>
    <row r="272" spans="35:40" ht="42" customHeight="1">
      <c r="AI272" s="400"/>
      <c r="AJ272" s="401"/>
      <c r="AK272" s="399"/>
      <c r="AL272" s="400"/>
      <c r="AM272" s="401"/>
      <c r="AN272" s="399"/>
    </row>
    <row r="273" spans="35:40" ht="42" customHeight="1">
      <c r="AI273" s="400"/>
      <c r="AJ273" s="401"/>
      <c r="AK273" s="399"/>
      <c r="AL273" s="400"/>
      <c r="AM273" s="401"/>
      <c r="AN273" s="399"/>
    </row>
    <row r="274" spans="35:40" ht="42" customHeight="1">
      <c r="AI274" s="400"/>
      <c r="AJ274" s="401"/>
      <c r="AK274" s="399"/>
      <c r="AL274" s="400"/>
      <c r="AM274" s="401"/>
      <c r="AN274" s="399"/>
    </row>
    <row r="275" spans="35:40" ht="42" customHeight="1">
      <c r="AI275" s="400"/>
      <c r="AJ275" s="401"/>
      <c r="AK275" s="399"/>
      <c r="AL275" s="400"/>
      <c r="AM275" s="401"/>
      <c r="AN275" s="399"/>
    </row>
    <row r="276" spans="35:40" ht="42" customHeight="1">
      <c r="AI276" s="400"/>
      <c r="AJ276" s="401"/>
      <c r="AK276" s="399"/>
      <c r="AL276" s="400"/>
      <c r="AM276" s="401"/>
      <c r="AN276" s="399"/>
    </row>
    <row r="277" spans="35:40" ht="42" customHeight="1">
      <c r="AI277" s="400"/>
      <c r="AJ277" s="401"/>
      <c r="AK277" s="399"/>
      <c r="AL277" s="400"/>
      <c r="AM277" s="401"/>
      <c r="AN277" s="399"/>
    </row>
    <row r="278" spans="35:40" ht="42" customHeight="1">
      <c r="AI278" s="400"/>
      <c r="AJ278" s="401"/>
      <c r="AK278" s="399"/>
      <c r="AL278" s="400"/>
      <c r="AM278" s="401"/>
      <c r="AN278" s="399"/>
    </row>
    <row r="279" spans="35:40" ht="42" customHeight="1">
      <c r="AI279" s="400"/>
      <c r="AJ279" s="401"/>
      <c r="AK279" s="399"/>
      <c r="AL279" s="400"/>
      <c r="AM279" s="401"/>
      <c r="AN279" s="399"/>
    </row>
    <row r="280" spans="35:40" ht="42" customHeight="1">
      <c r="AI280" s="400"/>
      <c r="AJ280" s="401"/>
      <c r="AK280" s="399"/>
      <c r="AL280" s="400"/>
      <c r="AM280" s="401"/>
      <c r="AN280" s="399"/>
    </row>
    <row r="281" spans="35:40" ht="42" customHeight="1">
      <c r="AI281" s="221"/>
      <c r="AJ281" s="347"/>
      <c r="AK281" s="399"/>
      <c r="AL281" s="221"/>
      <c r="AM281" s="347"/>
      <c r="AN281" s="399"/>
    </row>
    <row r="282" spans="35:40" ht="42" customHeight="1">
      <c r="AI282" s="221"/>
      <c r="AJ282" s="347"/>
      <c r="AK282" s="399"/>
      <c r="AL282" s="221"/>
      <c r="AM282" s="347"/>
      <c r="AN282" s="399"/>
    </row>
    <row r="283" spans="35:40" ht="42" customHeight="1">
      <c r="AI283" s="400"/>
      <c r="AJ283" s="401"/>
      <c r="AK283" s="399"/>
      <c r="AL283" s="400"/>
      <c r="AM283" s="401"/>
      <c r="AN283" s="399"/>
    </row>
    <row r="284" spans="35:40" ht="42" customHeight="1">
      <c r="AI284" s="221"/>
      <c r="AJ284" s="347"/>
      <c r="AK284" s="399"/>
      <c r="AL284" s="221"/>
      <c r="AM284" s="347"/>
      <c r="AN284" s="399"/>
    </row>
    <row r="285" spans="35:40" ht="42" customHeight="1">
      <c r="AI285" s="400"/>
      <c r="AJ285" s="401"/>
      <c r="AK285" s="399"/>
      <c r="AL285" s="400"/>
      <c r="AM285" s="401"/>
      <c r="AN285" s="399"/>
    </row>
    <row r="286" spans="35:40" ht="42" customHeight="1">
      <c r="AI286" s="400"/>
      <c r="AJ286" s="401"/>
      <c r="AK286" s="399"/>
      <c r="AL286" s="400"/>
      <c r="AM286" s="401"/>
      <c r="AN286" s="399"/>
    </row>
    <row r="287" spans="35:40" ht="42" customHeight="1">
      <c r="AI287" s="400"/>
      <c r="AJ287" s="401"/>
      <c r="AK287" s="399"/>
      <c r="AL287" s="400"/>
      <c r="AM287" s="401"/>
      <c r="AN287" s="399"/>
    </row>
    <row r="288" spans="35:40" ht="42" customHeight="1">
      <c r="AI288" s="400"/>
      <c r="AJ288" s="401"/>
      <c r="AK288" s="399"/>
      <c r="AL288" s="400"/>
      <c r="AM288" s="401"/>
      <c r="AN288" s="399"/>
    </row>
    <row r="289" spans="35:40" ht="42" customHeight="1">
      <c r="AI289" s="221"/>
      <c r="AJ289" s="347"/>
      <c r="AK289" s="399"/>
      <c r="AL289" s="221"/>
      <c r="AM289" s="347"/>
      <c r="AN289" s="399"/>
    </row>
    <row r="290" spans="35:40" ht="42" customHeight="1">
      <c r="AI290" s="221"/>
      <c r="AJ290" s="347"/>
      <c r="AK290" s="399"/>
      <c r="AL290" s="221"/>
      <c r="AM290" s="347"/>
      <c r="AN290" s="399"/>
    </row>
    <row r="291" spans="35:40" ht="42" customHeight="1">
      <c r="AI291" s="400"/>
      <c r="AJ291" s="401"/>
      <c r="AK291" s="399"/>
      <c r="AL291" s="400"/>
      <c r="AM291" s="401"/>
      <c r="AN291" s="399"/>
    </row>
    <row r="292" spans="35:40" ht="42" customHeight="1">
      <c r="AI292" s="400"/>
      <c r="AJ292" s="401"/>
      <c r="AK292" s="399"/>
      <c r="AL292" s="400"/>
      <c r="AM292" s="401"/>
      <c r="AN292" s="399"/>
    </row>
    <row r="293" spans="35:40" ht="42" customHeight="1">
      <c r="AI293" s="400"/>
      <c r="AJ293" s="401"/>
      <c r="AK293" s="399"/>
      <c r="AL293" s="400"/>
      <c r="AM293" s="401"/>
      <c r="AN293" s="399"/>
    </row>
    <row r="294" spans="35:40" ht="42" customHeight="1">
      <c r="AI294" s="400"/>
      <c r="AJ294" s="401"/>
      <c r="AK294" s="399"/>
      <c r="AL294" s="400"/>
      <c r="AM294" s="401"/>
      <c r="AN294" s="399"/>
    </row>
    <row r="295" spans="35:40" ht="42" customHeight="1">
      <c r="AI295" s="400"/>
      <c r="AJ295" s="401"/>
      <c r="AK295" s="399"/>
      <c r="AL295" s="400"/>
      <c r="AM295" s="401"/>
      <c r="AN295" s="399"/>
    </row>
    <row r="296" spans="35:40" ht="42" customHeight="1">
      <c r="AI296" s="221"/>
      <c r="AJ296" s="347"/>
      <c r="AK296" s="399"/>
      <c r="AL296" s="221"/>
      <c r="AM296" s="347"/>
      <c r="AN296" s="399"/>
    </row>
    <row r="297" spans="35:40" ht="42" customHeight="1">
      <c r="AI297" s="400"/>
      <c r="AJ297" s="401"/>
      <c r="AK297" s="399"/>
      <c r="AL297" s="400"/>
      <c r="AM297" s="401"/>
      <c r="AN297" s="399"/>
    </row>
    <row r="298" spans="35:40" ht="42" customHeight="1">
      <c r="AI298" s="400"/>
      <c r="AJ298" s="401"/>
      <c r="AK298" s="399"/>
      <c r="AL298" s="400"/>
      <c r="AM298" s="401"/>
      <c r="AN298" s="399"/>
    </row>
    <row r="299" spans="35:40" ht="42" customHeight="1">
      <c r="AI299" s="221"/>
      <c r="AJ299" s="347"/>
      <c r="AK299" s="399"/>
      <c r="AL299" s="221"/>
      <c r="AM299" s="347"/>
      <c r="AN299" s="399"/>
    </row>
    <row r="300" spans="35:40" ht="42" customHeight="1">
      <c r="AI300" s="400"/>
      <c r="AJ300" s="401"/>
      <c r="AK300" s="399"/>
      <c r="AL300" s="400"/>
      <c r="AM300" s="401"/>
      <c r="AN300" s="399"/>
    </row>
    <row r="301" spans="35:40" ht="42" customHeight="1">
      <c r="AI301" s="400"/>
      <c r="AJ301" s="401"/>
      <c r="AK301" s="399"/>
      <c r="AL301" s="400"/>
      <c r="AM301" s="401"/>
      <c r="AN301" s="399"/>
    </row>
    <row r="302" spans="35:40" ht="42" customHeight="1">
      <c r="AI302" s="400"/>
      <c r="AJ302" s="401"/>
      <c r="AK302" s="399"/>
      <c r="AL302" s="400"/>
      <c r="AM302" s="401"/>
      <c r="AN302" s="399"/>
    </row>
    <row r="303" spans="35:40" ht="42" customHeight="1">
      <c r="AI303" s="400"/>
      <c r="AJ303" s="401"/>
      <c r="AK303" s="399"/>
      <c r="AL303" s="400"/>
      <c r="AM303" s="401"/>
      <c r="AN303" s="399"/>
    </row>
    <row r="304" spans="35:40" ht="42" customHeight="1">
      <c r="AI304" s="221"/>
      <c r="AJ304" s="347"/>
      <c r="AK304" s="399"/>
      <c r="AL304" s="221"/>
      <c r="AM304" s="347"/>
      <c r="AN304" s="399"/>
    </row>
    <row r="305" spans="35:40" ht="42" customHeight="1">
      <c r="AI305" s="400"/>
      <c r="AJ305" s="401"/>
      <c r="AK305" s="399"/>
      <c r="AL305" s="400"/>
      <c r="AM305" s="401"/>
      <c r="AN305" s="399"/>
    </row>
    <row r="306" spans="35:40" ht="42" customHeight="1">
      <c r="AI306" s="400"/>
      <c r="AJ306" s="401"/>
      <c r="AK306" s="399"/>
      <c r="AL306" s="400"/>
      <c r="AM306" s="401"/>
      <c r="AN306" s="399"/>
    </row>
    <row r="307" spans="35:40" ht="42" customHeight="1">
      <c r="AI307" s="400"/>
      <c r="AJ307" s="401"/>
      <c r="AK307" s="399"/>
      <c r="AL307" s="400"/>
      <c r="AM307" s="401"/>
      <c r="AN307" s="399"/>
    </row>
    <row r="308" spans="35:40" ht="42" customHeight="1">
      <c r="AI308" s="400"/>
      <c r="AJ308" s="401"/>
      <c r="AK308" s="399"/>
      <c r="AL308" s="400"/>
      <c r="AM308" s="401"/>
      <c r="AN308" s="399"/>
    </row>
    <row r="309" spans="35:40" ht="42" customHeight="1">
      <c r="AI309" s="400"/>
      <c r="AJ309" s="401"/>
      <c r="AK309" s="399"/>
      <c r="AL309" s="400"/>
      <c r="AM309" s="401"/>
      <c r="AN309" s="399"/>
    </row>
    <row r="310" spans="35:40" ht="42" customHeight="1">
      <c r="AI310" s="400"/>
      <c r="AJ310" s="401"/>
      <c r="AK310" s="399"/>
      <c r="AL310" s="400"/>
      <c r="AM310" s="401"/>
      <c r="AN310" s="399"/>
    </row>
    <row r="311" spans="35:40" ht="42" customHeight="1">
      <c r="AI311" s="400"/>
      <c r="AJ311" s="401"/>
      <c r="AK311" s="399"/>
      <c r="AL311" s="400"/>
      <c r="AM311" s="401"/>
      <c r="AN311" s="399"/>
    </row>
    <row r="312" spans="35:40" ht="42" customHeight="1">
      <c r="AI312" s="400"/>
      <c r="AJ312" s="401"/>
      <c r="AK312" s="399"/>
      <c r="AL312" s="400"/>
      <c r="AM312" s="401"/>
      <c r="AN312" s="399"/>
    </row>
    <row r="313" spans="35:40" ht="42" customHeight="1">
      <c r="AI313" s="400"/>
      <c r="AJ313" s="401"/>
      <c r="AK313" s="399"/>
      <c r="AL313" s="400"/>
      <c r="AM313" s="401"/>
      <c r="AN313" s="399"/>
    </row>
    <row r="314" spans="35:40" ht="42" customHeight="1">
      <c r="AI314" s="400"/>
      <c r="AJ314" s="401"/>
      <c r="AK314" s="399"/>
      <c r="AL314" s="400"/>
      <c r="AM314" s="401"/>
      <c r="AN314" s="399"/>
    </row>
    <row r="315" spans="35:40" ht="42" customHeight="1">
      <c r="AI315" s="400"/>
      <c r="AJ315" s="401"/>
      <c r="AK315" s="399"/>
      <c r="AL315" s="400"/>
      <c r="AM315" s="401"/>
      <c r="AN315" s="399"/>
    </row>
    <row r="316" spans="35:40" ht="42" customHeight="1">
      <c r="AI316" s="400"/>
      <c r="AJ316" s="401"/>
      <c r="AK316" s="399"/>
      <c r="AL316" s="400"/>
      <c r="AM316" s="401"/>
      <c r="AN316" s="399"/>
    </row>
    <row r="317" spans="35:40" ht="42" customHeight="1">
      <c r="AI317" s="400"/>
      <c r="AJ317" s="401"/>
      <c r="AK317" s="399"/>
      <c r="AL317" s="400"/>
      <c r="AM317" s="401"/>
      <c r="AN317" s="399"/>
    </row>
    <row r="318" spans="35:40" ht="42" customHeight="1">
      <c r="AI318" s="400"/>
      <c r="AJ318" s="401"/>
      <c r="AK318" s="399"/>
      <c r="AL318" s="400"/>
      <c r="AM318" s="401"/>
      <c r="AN318" s="399"/>
    </row>
    <row r="319" spans="35:40" ht="42" customHeight="1">
      <c r="AI319" s="400"/>
      <c r="AJ319" s="401"/>
      <c r="AK319" s="399"/>
      <c r="AL319" s="400"/>
      <c r="AM319" s="401"/>
      <c r="AN319" s="399"/>
    </row>
    <row r="320" spans="35:40" ht="42" customHeight="1"/>
    <row r="321" spans="37:40" ht="42" customHeight="1"/>
    <row r="322" spans="37:40" ht="42" customHeight="1">
      <c r="AK322" s="399"/>
      <c r="AN322" s="399"/>
    </row>
    <row r="323" spans="37:40" ht="42" customHeight="1">
      <c r="AK323" s="399"/>
      <c r="AN323" s="399"/>
    </row>
    <row r="324" spans="37:40" ht="42" customHeight="1">
      <c r="AK324" s="399"/>
      <c r="AN324" s="399"/>
    </row>
    <row r="325" spans="37:40" ht="42" customHeight="1">
      <c r="AK325" s="399"/>
      <c r="AN325" s="399"/>
    </row>
    <row r="326" spans="37:40" ht="42" customHeight="1">
      <c r="AK326" s="399"/>
      <c r="AN326" s="399"/>
    </row>
    <row r="327" spans="37:40" ht="42" customHeight="1"/>
    <row r="328" spans="37:40" ht="42" customHeight="1">
      <c r="AK328" s="399"/>
      <c r="AN328" s="399"/>
    </row>
    <row r="329" spans="37:40" ht="42" customHeight="1">
      <c r="AK329" s="399"/>
      <c r="AN329" s="399"/>
    </row>
    <row r="330" spans="37:40" ht="42" customHeight="1">
      <c r="AK330" s="399"/>
      <c r="AN330" s="399"/>
    </row>
    <row r="331" spans="37:40" ht="42" customHeight="1">
      <c r="AK331" s="399"/>
      <c r="AN331" s="399"/>
    </row>
    <row r="332" spans="37:40" ht="42" customHeight="1"/>
    <row r="333" spans="37:40" ht="42" customHeight="1"/>
    <row r="334" spans="37:40" ht="42" customHeight="1"/>
    <row r="335" spans="37:40" ht="42" customHeight="1"/>
    <row r="336" spans="37:40" ht="42" customHeight="1"/>
    <row r="337" ht="42" customHeight="1"/>
    <row r="338" ht="42" customHeight="1"/>
    <row r="339" ht="42" customHeight="1"/>
    <row r="340" ht="42" customHeight="1"/>
    <row r="341" ht="42" customHeight="1"/>
  </sheetData>
  <sheetProtection algorithmName="SHA-512" hashValue="lwxqu/XRyZrAuDfbC/OvDnDvKJ8NWQi9/rUpDHusb7Ns3P+49HLX0WQl+H7E21dVn83dj1P0hBH3nN95uVea/w==" saltValue="+WTs/3cPZNlDC1wXumaWiQ==" spinCount="100000" sheet="1" selectLockedCells="1"/>
  <mergeCells count="12">
    <mergeCell ref="AH1:AH5"/>
    <mergeCell ref="AP1:AP5"/>
    <mergeCell ref="H3:J3"/>
    <mergeCell ref="G4:H4"/>
    <mergeCell ref="B85:C85"/>
    <mergeCell ref="F32:L32"/>
    <mergeCell ref="D36:E36"/>
    <mergeCell ref="A3:B3"/>
    <mergeCell ref="C2:E2"/>
    <mergeCell ref="C3:E3"/>
    <mergeCell ref="A4:C4"/>
    <mergeCell ref="Z2:AB3"/>
  </mergeCells>
  <conditionalFormatting sqref="A1">
    <cfRule type="containsText" dxfId="10" priority="22" operator="containsText" text="F">
      <formula>NOT(ISERROR(SEARCH("F",A1)))</formula>
    </cfRule>
  </conditionalFormatting>
  <conditionalFormatting sqref="F49:L49">
    <cfRule type="cellIs" dxfId="9" priority="1" operator="lessThan">
      <formula>$E49</formula>
    </cfRule>
  </conditionalFormatting>
  <conditionalFormatting sqref="F40:M40">
    <cfRule type="cellIs" dxfId="8" priority="4" operator="lessThan">
      <formula>$E40</formula>
    </cfRule>
  </conditionalFormatting>
  <conditionalFormatting sqref="F45:M45 F84:M84 M85:M86 F90:M90">
    <cfRule type="cellIs" dxfId="7" priority="21" operator="lessThan">
      <formula>$E45</formula>
    </cfRule>
  </conditionalFormatting>
  <conditionalFormatting sqref="F48:M48">
    <cfRule type="cellIs" dxfId="6" priority="20" operator="greaterThan">
      <formula>$E48</formula>
    </cfRule>
  </conditionalFormatting>
  <conditionalFormatting sqref="F50:M51">
    <cfRule type="cellIs" dxfId="5" priority="11" operator="lessThan">
      <formula>$E50</formula>
    </cfRule>
  </conditionalFormatting>
  <conditionalFormatting sqref="F69:M69">
    <cfRule type="cellIs" dxfId="4" priority="9" operator="lessThan">
      <formula>$E69</formula>
    </cfRule>
  </conditionalFormatting>
  <conditionalFormatting sqref="F76:M76">
    <cfRule type="cellIs" dxfId="3" priority="7" operator="lessThan">
      <formula>$E76</formula>
    </cfRule>
  </conditionalFormatting>
  <conditionalFormatting sqref="F94:M94">
    <cfRule type="cellIs" dxfId="2" priority="5" operator="lessThan">
      <formula>$E94</formula>
    </cfRule>
  </conditionalFormatting>
  <printOptions horizontalCentered="1"/>
  <pageMargins left="0.23622047244094491" right="0.23622047244094491" top="0.55118110236220474" bottom="0.35433070866141736" header="0.31496062992125984" footer="0.31496062992125984"/>
  <pageSetup paperSize="9" scale="55" fitToHeight="0" orientation="portrait" r:id="rId1"/>
  <headerFooter>
    <oddFooter>&amp;R&amp;"Calibri,Normal"&amp;K000000Print date: &amp;D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Liste!$F$2:$F$3</xm:f>
          </x14:formula1>
          <xm:sqref>A1</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tt1">
    <tabColor theme="0"/>
    <pageSetUpPr fitToPage="1"/>
  </sheetPr>
  <dimension ref="A1:Z255"/>
  <sheetViews>
    <sheetView zoomScale="141" zoomScaleNormal="100" workbookViewId="0">
      <pane xSplit="3" ySplit="5" topLeftCell="D6" activePane="bottomRight" state="frozenSplit"/>
      <selection pane="topRight"/>
      <selection pane="bottomLeft"/>
      <selection pane="bottomRight"/>
    </sheetView>
  </sheetViews>
  <sheetFormatPr baseColWidth="10" defaultColWidth="10.83203125" defaultRowHeight="13"/>
  <cols>
    <col min="1" max="1" width="11.1640625" style="18" customWidth="1"/>
    <col min="2" max="2" width="10.83203125" style="18" customWidth="1"/>
    <col min="3" max="3" width="7.5" style="19" customWidth="1"/>
    <col min="4" max="4" width="65" style="18" customWidth="1"/>
    <col min="5" max="5" width="45.1640625" style="20" customWidth="1"/>
    <col min="6" max="17" width="10.83203125" style="18"/>
    <col min="18" max="18" width="65" style="201" customWidth="1"/>
    <col min="19" max="19" width="65" style="326" customWidth="1"/>
    <col min="20" max="20" width="27.83203125" style="385" customWidth="1"/>
    <col min="21" max="21" width="45.1640625" style="220" customWidth="1"/>
    <col min="22" max="22" width="45.1640625" style="343" customWidth="1"/>
    <col min="23" max="23" width="27.83203125" style="385" customWidth="1"/>
    <col min="24" max="16384" width="10.83203125" style="18"/>
  </cols>
  <sheetData>
    <row r="1" spans="1:23" s="178" customFormat="1" ht="45" customHeight="1" thickBot="1">
      <c r="A1" s="2428" t="s">
        <v>442</v>
      </c>
      <c r="B1" s="2418" t="s">
        <v>854</v>
      </c>
      <c r="C1" s="2419"/>
      <c r="E1" s="310"/>
      <c r="R1" s="311" t="s">
        <v>446</v>
      </c>
      <c r="S1" s="324" t="s">
        <v>448</v>
      </c>
      <c r="T1" s="1033" t="s">
        <v>773</v>
      </c>
      <c r="U1" s="311" t="s">
        <v>447</v>
      </c>
      <c r="V1" s="324" t="s">
        <v>449</v>
      </c>
      <c r="W1" s="1033" t="s">
        <v>772</v>
      </c>
    </row>
    <row r="2" spans="1:23" ht="18" customHeight="1" thickBot="1">
      <c r="A2" s="2420" t="str">
        <f>A7&amp;"  -  "&amp;A17</f>
        <v>Anhang I zu den Richtlinien für die Zertifizierung von IS durch die SGI  -  Qualitätskriterien</v>
      </c>
      <c r="B2" s="2421"/>
      <c r="C2" s="2421"/>
      <c r="D2" s="2421"/>
      <c r="E2" s="2421"/>
      <c r="W2" s="383" t="str">
        <f t="shared" ref="W2:W66" si="0">IF(U2=0,"",IF($A$1="D",U2,V2))</f>
        <v/>
      </c>
    </row>
    <row r="3" spans="1:23" s="23" customFormat="1" ht="24.75" customHeight="1">
      <c r="A3" s="237" t="str">
        <f>T3</f>
        <v>Muss Kriterium</v>
      </c>
      <c r="B3" s="238" t="str">
        <f>W3</f>
        <v>Kann Kriterium</v>
      </c>
      <c r="C3" s="239"/>
      <c r="D3" s="240" t="str">
        <f>T21</f>
        <v>Beschreibung</v>
      </c>
      <c r="E3" s="240" t="str">
        <f>W21</f>
        <v>Dokumentation via</v>
      </c>
      <c r="R3" s="257" t="s">
        <v>12</v>
      </c>
      <c r="S3" s="325" t="s">
        <v>450</v>
      </c>
      <c r="T3" s="383" t="str">
        <f t="shared" ref="T3:T34" si="1">IF(R3=0,"",IF($A$1="D",R3,S3))</f>
        <v>Muss Kriterium</v>
      </c>
      <c r="U3" s="257" t="s">
        <v>13</v>
      </c>
      <c r="V3" s="325" t="s">
        <v>451</v>
      </c>
      <c r="W3" s="383" t="str">
        <f t="shared" si="0"/>
        <v>Kann Kriterium</v>
      </c>
    </row>
    <row r="4" spans="1:23" ht="28.5" customHeight="1">
      <c r="A4" s="267" t="str">
        <f>T4</f>
        <v>0= nicht erfüllt
1= erfüllt</v>
      </c>
      <c r="B4" s="267" t="str">
        <f>W4</f>
        <v>0= nicht erfüllt
1= teilweise erfüllt
2= vollständig erfüllt</v>
      </c>
      <c r="C4" s="268"/>
      <c r="D4" s="234"/>
      <c r="E4" s="235"/>
      <c r="R4" s="200" t="s">
        <v>319</v>
      </c>
      <c r="S4" s="313" t="s">
        <v>663</v>
      </c>
      <c r="T4" s="383" t="str">
        <f t="shared" si="1"/>
        <v>0= nicht erfüllt
1= erfüllt</v>
      </c>
      <c r="U4" s="259" t="s">
        <v>320</v>
      </c>
      <c r="V4" s="346" t="s">
        <v>662</v>
      </c>
      <c r="W4" s="383" t="str">
        <f t="shared" si="0"/>
        <v>0= nicht erfüllt
1= teilweise erfüllt
2= vollständig erfüllt</v>
      </c>
    </row>
    <row r="5" spans="1:23" s="175" customFormat="1" ht="5.25" customHeight="1" thickBot="1">
      <c r="A5" s="172"/>
      <c r="B5" s="173"/>
      <c r="C5" s="2395"/>
      <c r="D5" s="2395"/>
      <c r="E5" s="174"/>
      <c r="P5" s="175" t="s">
        <v>758</v>
      </c>
      <c r="R5" s="258" t="s">
        <v>748</v>
      </c>
      <c r="S5" s="313" t="s">
        <v>749</v>
      </c>
      <c r="T5" s="384" t="str">
        <f t="shared" si="1"/>
        <v>Deutsch wählen:</v>
      </c>
      <c r="U5" s="200"/>
      <c r="V5" s="313"/>
      <c r="W5" s="384" t="str">
        <f t="shared" si="0"/>
        <v/>
      </c>
    </row>
    <row r="6" spans="1:23" ht="93.75" customHeight="1">
      <c r="A6" s="2423"/>
      <c r="B6" s="2423"/>
      <c r="C6" s="2423"/>
      <c r="D6" s="2423"/>
      <c r="E6" s="2423"/>
      <c r="T6" s="385" t="str">
        <f t="shared" si="1"/>
        <v/>
      </c>
      <c r="W6" s="385" t="str">
        <f t="shared" si="0"/>
        <v/>
      </c>
    </row>
    <row r="7" spans="1:23" ht="18" customHeight="1">
      <c r="A7" s="2424" t="str">
        <f>T7</f>
        <v>Anhang I zu den Richtlinien für die Zertifizierung von IS durch die SGI</v>
      </c>
      <c r="B7" s="2424"/>
      <c r="C7" s="2424"/>
      <c r="D7" s="2424"/>
      <c r="E7" s="2424"/>
      <c r="R7" s="202" t="s">
        <v>673</v>
      </c>
      <c r="S7" s="327" t="s">
        <v>675</v>
      </c>
      <c r="T7" s="385" t="str">
        <f t="shared" si="1"/>
        <v>Anhang I zu den Richtlinien für die Zertifizierung von IS durch die SGI</v>
      </c>
      <c r="U7" s="200"/>
      <c r="V7" s="313"/>
      <c r="W7" s="385" t="str">
        <f t="shared" si="0"/>
        <v/>
      </c>
    </row>
    <row r="8" spans="1:23" ht="7" hidden="1" customHeight="1">
      <c r="A8" s="198"/>
      <c r="B8" s="198"/>
      <c r="C8" s="196"/>
      <c r="D8" s="199"/>
      <c r="E8" s="197"/>
      <c r="R8" s="203"/>
      <c r="S8" s="328"/>
      <c r="T8" s="385" t="str">
        <f t="shared" si="1"/>
        <v/>
      </c>
      <c r="U8" s="200"/>
      <c r="V8" s="313"/>
      <c r="W8" s="385" t="str">
        <f t="shared" si="0"/>
        <v/>
      </c>
    </row>
    <row r="9" spans="1:23" ht="7" hidden="1" customHeight="1">
      <c r="A9" s="198"/>
      <c r="B9" s="198"/>
      <c r="C9" s="196"/>
      <c r="D9" s="199"/>
      <c r="E9" s="197"/>
      <c r="R9" s="203"/>
      <c r="S9" s="328"/>
      <c r="T9" s="385" t="str">
        <f t="shared" si="1"/>
        <v/>
      </c>
      <c r="U9" s="200"/>
      <c r="V9" s="313"/>
      <c r="W9" s="385" t="str">
        <f t="shared" si="0"/>
        <v/>
      </c>
    </row>
    <row r="10" spans="1:23" ht="7" hidden="1" customHeight="1">
      <c r="A10" s="198"/>
      <c r="B10" s="198"/>
      <c r="C10" s="196"/>
      <c r="D10" s="199"/>
      <c r="E10" s="197"/>
      <c r="R10" s="203"/>
      <c r="S10" s="328"/>
      <c r="T10" s="385" t="str">
        <f t="shared" si="1"/>
        <v/>
      </c>
      <c r="U10" s="200"/>
      <c r="V10" s="313"/>
      <c r="W10" s="385" t="str">
        <f t="shared" si="0"/>
        <v/>
      </c>
    </row>
    <row r="11" spans="1:23" ht="7" hidden="1" customHeight="1">
      <c r="A11" s="198"/>
      <c r="B11" s="198"/>
      <c r="C11" s="196"/>
      <c r="D11" s="199"/>
      <c r="E11" s="197"/>
      <c r="R11" s="203"/>
      <c r="S11" s="328"/>
      <c r="T11" s="385" t="str">
        <f t="shared" si="1"/>
        <v/>
      </c>
      <c r="U11" s="200"/>
      <c r="V11" s="313"/>
      <c r="W11" s="385" t="str">
        <f t="shared" si="0"/>
        <v/>
      </c>
    </row>
    <row r="12" spans="1:23" ht="7" hidden="1" customHeight="1">
      <c r="A12" s="198"/>
      <c r="B12" s="198"/>
      <c r="C12" s="196"/>
      <c r="D12" s="199"/>
      <c r="E12" s="197"/>
      <c r="R12" s="203"/>
      <c r="S12" s="328"/>
      <c r="T12" s="385" t="str">
        <f t="shared" si="1"/>
        <v/>
      </c>
      <c r="U12" s="200"/>
      <c r="V12" s="313"/>
      <c r="W12" s="385" t="str">
        <f t="shared" si="0"/>
        <v/>
      </c>
    </row>
    <row r="13" spans="1:23" ht="7" hidden="1" customHeight="1">
      <c r="A13" s="198"/>
      <c r="B13" s="198"/>
      <c r="C13" s="196"/>
      <c r="D13" s="199"/>
      <c r="E13" s="197"/>
      <c r="R13" s="203"/>
      <c r="S13" s="328"/>
      <c r="T13" s="385" t="str">
        <f t="shared" si="1"/>
        <v/>
      </c>
      <c r="U13" s="200"/>
      <c r="V13" s="313"/>
      <c r="W13" s="385" t="str">
        <f t="shared" si="0"/>
        <v/>
      </c>
    </row>
    <row r="14" spans="1:23" ht="7" hidden="1" customHeight="1">
      <c r="A14" s="198"/>
      <c r="B14" s="198"/>
      <c r="C14" s="196"/>
      <c r="D14" s="199"/>
      <c r="E14" s="197"/>
      <c r="R14" s="203"/>
      <c r="S14" s="328"/>
      <c r="T14" s="385" t="str">
        <f t="shared" si="1"/>
        <v/>
      </c>
      <c r="U14" s="200"/>
      <c r="V14" s="313"/>
      <c r="W14" s="385" t="str">
        <f t="shared" si="0"/>
        <v/>
      </c>
    </row>
    <row r="15" spans="1:23" ht="7" hidden="1" customHeight="1">
      <c r="A15" s="198"/>
      <c r="B15" s="198"/>
      <c r="C15" s="196"/>
      <c r="D15" s="199"/>
      <c r="E15" s="197"/>
      <c r="R15" s="203"/>
      <c r="S15" s="328"/>
      <c r="T15" s="385" t="str">
        <f t="shared" si="1"/>
        <v/>
      </c>
      <c r="U15" s="200"/>
      <c r="V15" s="313"/>
      <c r="W15" s="385" t="str">
        <f t="shared" si="0"/>
        <v/>
      </c>
    </row>
    <row r="16" spans="1:23" ht="7" hidden="1" customHeight="1">
      <c r="A16" s="198"/>
      <c r="B16" s="198"/>
      <c r="C16" s="196"/>
      <c r="D16" s="199"/>
      <c r="E16" s="197"/>
      <c r="R16" s="203"/>
      <c r="S16" s="328"/>
      <c r="T16" s="383" t="str">
        <f t="shared" si="1"/>
        <v/>
      </c>
      <c r="U16" s="200"/>
      <c r="V16" s="313"/>
      <c r="W16" s="383" t="str">
        <f t="shared" si="0"/>
        <v/>
      </c>
    </row>
    <row r="17" spans="1:24" ht="18" customHeight="1">
      <c r="A17" s="2425" t="str">
        <f>T17</f>
        <v>Qualitätskriterien</v>
      </c>
      <c r="B17" s="2425"/>
      <c r="C17" s="2425"/>
      <c r="D17" s="2425"/>
      <c r="E17" s="2425"/>
      <c r="R17" s="203" t="s">
        <v>674</v>
      </c>
      <c r="S17" s="328" t="s">
        <v>676</v>
      </c>
      <c r="T17" s="383" t="str">
        <f t="shared" si="1"/>
        <v>Qualitätskriterien</v>
      </c>
      <c r="U17" s="200"/>
      <c r="V17" s="313"/>
      <c r="W17" s="383" t="str">
        <f t="shared" si="0"/>
        <v/>
      </c>
    </row>
    <row r="18" spans="1:24" s="178" customFormat="1" ht="15" customHeight="1">
      <c r="A18" s="2422" t="str">
        <f>T18</f>
        <v>Die deutsche Version ist Stammversion.</v>
      </c>
      <c r="B18" s="2422"/>
      <c r="C18" s="2422"/>
      <c r="D18" s="2422"/>
      <c r="E18" s="2422"/>
      <c r="R18" s="204" t="s">
        <v>686</v>
      </c>
      <c r="S18" s="329" t="s">
        <v>687</v>
      </c>
      <c r="T18" s="383" t="str">
        <f t="shared" si="1"/>
        <v>Die deutsche Version ist Stammversion.</v>
      </c>
      <c r="U18" s="221"/>
      <c r="V18" s="347"/>
      <c r="W18" s="383" t="str">
        <f t="shared" si="0"/>
        <v/>
      </c>
    </row>
    <row r="19" spans="1:24" ht="15" customHeight="1">
      <c r="B19" s="59"/>
      <c r="E19" s="236" t="str">
        <f>A7&amp;" - "&amp;A17</f>
        <v>Anhang I zu den Richtlinien für die Zertifizierung von IS durch die SGI - Qualitätskriterien</v>
      </c>
      <c r="R19" s="204"/>
      <c r="S19" s="329"/>
      <c r="T19" s="383" t="str">
        <f t="shared" si="1"/>
        <v/>
      </c>
      <c r="U19" s="221"/>
      <c r="V19" s="347"/>
      <c r="W19" s="383" t="str">
        <f t="shared" si="0"/>
        <v/>
      </c>
      <c r="X19" s="178"/>
    </row>
    <row r="20" spans="1:24" ht="12.75" customHeight="1">
      <c r="D20" s="152"/>
      <c r="E20" s="179"/>
      <c r="R20" s="203"/>
      <c r="S20" s="328"/>
      <c r="T20" s="383" t="str">
        <f t="shared" si="1"/>
        <v/>
      </c>
      <c r="U20" s="200"/>
      <c r="V20" s="313"/>
      <c r="W20" s="383" t="str">
        <f t="shared" si="0"/>
        <v/>
      </c>
    </row>
    <row r="21" spans="1:24" s="23" customFormat="1" ht="55" customHeight="1">
      <c r="A21" s="168" t="str">
        <f>A3</f>
        <v>Muss Kriterium</v>
      </c>
      <c r="B21" s="169" t="str">
        <f>B3</f>
        <v>Kann Kriterium</v>
      </c>
      <c r="C21" s="1"/>
      <c r="D21" s="2" t="str">
        <f>D3</f>
        <v>Beschreibung</v>
      </c>
      <c r="E21" s="2" t="str">
        <f>E3</f>
        <v>Dokumentation via</v>
      </c>
      <c r="R21" s="205" t="s">
        <v>11</v>
      </c>
      <c r="S21" s="330" t="s">
        <v>445</v>
      </c>
      <c r="T21" s="383" t="str">
        <f t="shared" si="1"/>
        <v>Beschreibung</v>
      </c>
      <c r="U21" s="205" t="s">
        <v>165</v>
      </c>
      <c r="V21" s="330" t="s">
        <v>478</v>
      </c>
      <c r="W21" s="383" t="str">
        <f t="shared" si="0"/>
        <v>Dokumentation via</v>
      </c>
    </row>
    <row r="22" spans="1:24" ht="30.75" customHeight="1">
      <c r="A22" s="231" t="str">
        <f>A4</f>
        <v>0= nicht erfüllt
1= erfüllt</v>
      </c>
      <c r="B22" s="232" t="str">
        <f>B4</f>
        <v>0= nicht erfüllt
1= teilweise erfüllt
2= vollständig erfüllt</v>
      </c>
      <c r="C22" s="233"/>
      <c r="D22" s="234"/>
      <c r="E22" s="235"/>
      <c r="R22" s="200"/>
      <c r="S22" s="313"/>
      <c r="T22" s="383" t="str">
        <f t="shared" si="1"/>
        <v/>
      </c>
      <c r="U22" s="200"/>
      <c r="V22" s="313"/>
      <c r="W22" s="383" t="str">
        <f t="shared" si="0"/>
        <v/>
      </c>
    </row>
    <row r="23" spans="1:24" s="377" customFormat="1" ht="17">
      <c r="A23" s="3"/>
      <c r="B23" s="3"/>
      <c r="C23" s="86">
        <v>1</v>
      </c>
      <c r="D23" s="3" t="str">
        <f t="shared" ref="D23:D36" si="2">T23</f>
        <v>Merkmale einer IS und Kennzahlen</v>
      </c>
      <c r="E23" s="3" t="str">
        <f>W23</f>
        <v/>
      </c>
      <c r="R23" s="205" t="s">
        <v>0</v>
      </c>
      <c r="S23" s="330" t="s">
        <v>465</v>
      </c>
      <c r="T23" s="386" t="str">
        <f t="shared" si="1"/>
        <v>Merkmale einer IS und Kennzahlen</v>
      </c>
      <c r="U23" s="205"/>
      <c r="V23" s="330"/>
      <c r="W23" s="386" t="str">
        <f t="shared" si="0"/>
        <v/>
      </c>
    </row>
    <row r="24" spans="1:24" s="370" customFormat="1" ht="15">
      <c r="A24" s="84"/>
      <c r="B24" s="4"/>
      <c r="C24" s="96">
        <v>1.1000000000000001</v>
      </c>
      <c r="D24" s="4" t="str">
        <f t="shared" si="2"/>
        <v>Allgemeine Organisation</v>
      </c>
      <c r="E24" s="26" t="str">
        <f t="shared" ref="E24:E38" si="3">W24</f>
        <v/>
      </c>
      <c r="R24" s="206" t="s">
        <v>1</v>
      </c>
      <c r="S24" s="331" t="s">
        <v>466</v>
      </c>
      <c r="T24" s="387" t="str">
        <f t="shared" si="1"/>
        <v>Allgemeine Organisation</v>
      </c>
      <c r="U24" s="222"/>
      <c r="V24" s="348"/>
      <c r="W24" s="387" t="str">
        <f t="shared" si="0"/>
        <v/>
      </c>
    </row>
    <row r="25" spans="1:24" s="20" customFormat="1" ht="28">
      <c r="A25" s="138">
        <v>1</v>
      </c>
      <c r="B25" s="66"/>
      <c r="C25" s="93" t="s">
        <v>166</v>
      </c>
      <c r="D25" s="115" t="str">
        <f t="shared" si="2"/>
        <v>Ein internes Organisationsreglement regelt den Arbeitsablauf des ärztlichen Personals und des Pflegepersonals</v>
      </c>
      <c r="E25" s="6" t="str">
        <f t="shared" si="3"/>
        <v>Dokument</v>
      </c>
      <c r="R25" s="207" t="s">
        <v>690</v>
      </c>
      <c r="S25" s="332" t="s">
        <v>467</v>
      </c>
      <c r="T25" s="387" t="str">
        <f t="shared" si="1"/>
        <v>Ein internes Organisationsreglement regelt den Arbeitsablauf des ärztlichen Personals und des Pflegepersonals</v>
      </c>
      <c r="U25" s="208" t="s">
        <v>2</v>
      </c>
      <c r="V25" s="333" t="s">
        <v>479</v>
      </c>
      <c r="W25" s="387" t="str">
        <f t="shared" si="0"/>
        <v>Dokument</v>
      </c>
    </row>
    <row r="26" spans="1:24" s="20" customFormat="1" ht="33">
      <c r="A26" s="138">
        <v>1</v>
      </c>
      <c r="B26" s="66"/>
      <c r="C26" s="93" t="s">
        <v>167</v>
      </c>
      <c r="D26" s="5" t="str">
        <f t="shared" si="2"/>
        <v xml:space="preserve">Bei Eintritt und bei Austritt wird bei jedem Patienten ein Übergaberapport auf ärztlicher und auf pflegerischer Ebene durchgeführt. </v>
      </c>
      <c r="E26" s="10" t="str">
        <f t="shared" si="3"/>
        <v>Visitation</v>
      </c>
      <c r="R26" s="207" t="s">
        <v>691</v>
      </c>
      <c r="S26" s="332" t="s">
        <v>468</v>
      </c>
      <c r="T26" s="387" t="str">
        <f t="shared" si="1"/>
        <v xml:space="preserve">Bei Eintritt und bei Austritt wird bei jedem Patienten ein Übergaberapport auf ärztlicher und auf pflegerischer Ebene durchgeführt. </v>
      </c>
      <c r="U26" s="208" t="s">
        <v>3</v>
      </c>
      <c r="V26" s="333" t="s">
        <v>480</v>
      </c>
      <c r="W26" s="387" t="str">
        <f t="shared" si="0"/>
        <v>Visitation</v>
      </c>
    </row>
    <row r="27" spans="1:24" s="20" customFormat="1" ht="28">
      <c r="A27" s="138">
        <v>1</v>
      </c>
      <c r="B27" s="66"/>
      <c r="C27" s="93" t="s">
        <v>168</v>
      </c>
      <c r="D27" s="5" t="str">
        <f t="shared" si="2"/>
        <v>Alle Unterlagen müssen entweder elektronisch oder als physikalisch vorhandene Kopie verfügbar sein.</v>
      </c>
      <c r="E27" s="28" t="str">
        <f t="shared" si="3"/>
        <v/>
      </c>
      <c r="R27" s="207" t="s">
        <v>4</v>
      </c>
      <c r="S27" s="332" t="s">
        <v>1625</v>
      </c>
      <c r="T27" s="387" t="str">
        <f t="shared" si="1"/>
        <v>Alle Unterlagen müssen entweder elektronisch oder als physikalisch vorhandene Kopie verfügbar sein.</v>
      </c>
      <c r="U27" s="208"/>
      <c r="V27" s="333"/>
      <c r="W27" s="387" t="str">
        <f t="shared" si="0"/>
        <v/>
      </c>
    </row>
    <row r="28" spans="1:24" s="20" customFormat="1" ht="28">
      <c r="A28" s="138">
        <v>1</v>
      </c>
      <c r="B28" s="66"/>
      <c r="C28" s="93" t="s">
        <v>169</v>
      </c>
      <c r="D28" s="5" t="str">
        <f t="shared" si="2"/>
        <v xml:space="preserve">Alle Unterlagen bleiben bei internen Verlegungen beim Patienten und/oder sind für die Nachbetreuenden verfügbar.  </v>
      </c>
      <c r="E28" s="10" t="str">
        <f t="shared" si="3"/>
        <v>Visitation</v>
      </c>
      <c r="R28" s="207" t="s">
        <v>5</v>
      </c>
      <c r="S28" s="332" t="s">
        <v>469</v>
      </c>
      <c r="T28" s="387" t="str">
        <f t="shared" si="1"/>
        <v xml:space="preserve">Alle Unterlagen bleiben bei internen Verlegungen beim Patienten und/oder sind für die Nachbetreuenden verfügbar.  </v>
      </c>
      <c r="U28" s="208" t="s">
        <v>3</v>
      </c>
      <c r="V28" s="333" t="s">
        <v>480</v>
      </c>
      <c r="W28" s="387" t="str">
        <f t="shared" si="0"/>
        <v>Visitation</v>
      </c>
    </row>
    <row r="29" spans="1:24" s="20" customFormat="1" ht="22">
      <c r="A29" s="138">
        <v>1</v>
      </c>
      <c r="B29" s="66"/>
      <c r="C29" s="93" t="s">
        <v>170</v>
      </c>
      <c r="D29" s="5" t="str">
        <f t="shared" si="2"/>
        <v xml:space="preserve">Die Ärzte der IS führen für jeden Patienten eine Krankengeschichte. </v>
      </c>
      <c r="E29" s="28" t="str">
        <f t="shared" si="3"/>
        <v/>
      </c>
      <c r="R29" s="207" t="s">
        <v>692</v>
      </c>
      <c r="S29" s="332" t="s">
        <v>470</v>
      </c>
      <c r="T29" s="387" t="str">
        <f t="shared" si="1"/>
        <v xml:space="preserve">Die Ärzte der IS führen für jeden Patienten eine Krankengeschichte. </v>
      </c>
      <c r="U29" s="208"/>
      <c r="V29" s="333"/>
      <c r="W29" s="387" t="str">
        <f t="shared" si="0"/>
        <v/>
      </c>
    </row>
    <row r="30" spans="1:24" s="20" customFormat="1" ht="42">
      <c r="A30" s="138">
        <v>1</v>
      </c>
      <c r="B30" s="66"/>
      <c r="C30" s="93" t="s">
        <v>171</v>
      </c>
      <c r="D30" s="5" t="str">
        <f t="shared" si="2"/>
        <v xml:space="preserve">Bei Verlegungen von Patienten der IS in ein anderes Spital werden ein aktueller Bericht sowie Kopien aller relevanten Befunde und Dokumente mitgegeben. </v>
      </c>
      <c r="E30" s="10" t="str">
        <f t="shared" si="3"/>
        <v>Visitation, Dokument, Datei</v>
      </c>
      <c r="R30" s="207" t="s">
        <v>6</v>
      </c>
      <c r="S30" s="332" t="s">
        <v>471</v>
      </c>
      <c r="T30" s="387" t="str">
        <f t="shared" si="1"/>
        <v xml:space="preserve">Bei Verlegungen von Patienten der IS in ein anderes Spital werden ein aktueller Bericht sowie Kopien aller relevanten Befunde und Dokumente mitgegeben. </v>
      </c>
      <c r="U30" s="208" t="s">
        <v>767</v>
      </c>
      <c r="V30" s="333" t="s">
        <v>765</v>
      </c>
      <c r="W30" s="387" t="str">
        <f t="shared" si="0"/>
        <v>Visitation, Dokument, Datei</v>
      </c>
    </row>
    <row r="31" spans="1:24" s="20" customFormat="1" ht="28">
      <c r="A31" s="138">
        <v>1</v>
      </c>
      <c r="B31" s="66"/>
      <c r="C31" s="93" t="s">
        <v>172</v>
      </c>
      <c r="D31" s="115" t="str">
        <f t="shared" si="2"/>
        <v>Eine Kartei/Datei hält Reparaturdaten und technische Kontrollen aller Geräte fest.</v>
      </c>
      <c r="E31" s="10" t="str">
        <f t="shared" si="3"/>
        <v>Visitation, Dokument, Datei</v>
      </c>
      <c r="R31" s="207" t="s">
        <v>693</v>
      </c>
      <c r="S31" s="332" t="s">
        <v>768</v>
      </c>
      <c r="T31" s="387" t="str">
        <f t="shared" si="1"/>
        <v>Eine Kartei/Datei hält Reparaturdaten und technische Kontrollen aller Geräte fest.</v>
      </c>
      <c r="U31" s="208" t="s">
        <v>767</v>
      </c>
      <c r="V31" s="333" t="s">
        <v>765</v>
      </c>
      <c r="W31" s="387" t="str">
        <f t="shared" si="0"/>
        <v>Visitation, Dokument, Datei</v>
      </c>
    </row>
    <row r="32" spans="1:24" s="370" customFormat="1" ht="15">
      <c r="A32" s="84"/>
      <c r="B32" s="83"/>
      <c r="C32" s="96">
        <v>1.2</v>
      </c>
      <c r="D32" s="4" t="str">
        <f t="shared" si="2"/>
        <v>Datenerfassung</v>
      </c>
      <c r="E32" s="26" t="str">
        <f t="shared" si="3"/>
        <v/>
      </c>
      <c r="R32" s="206" t="s">
        <v>7</v>
      </c>
      <c r="S32" s="331" t="s">
        <v>472</v>
      </c>
      <c r="T32" s="387" t="str">
        <f t="shared" si="1"/>
        <v>Datenerfassung</v>
      </c>
      <c r="U32" s="222"/>
      <c r="V32" s="348"/>
      <c r="W32" s="387" t="str">
        <f t="shared" si="0"/>
        <v/>
      </c>
    </row>
    <row r="33" spans="1:23" s="20" customFormat="1" ht="28">
      <c r="A33" s="138">
        <v>1</v>
      </c>
      <c r="B33" s="66"/>
      <c r="C33" s="93" t="s">
        <v>173</v>
      </c>
      <c r="D33" s="115" t="str">
        <f t="shared" si="2"/>
        <v>Die Verantwortlichen der IS erfassen Daten gemäss den Vorgaben des MDSi der SGI.</v>
      </c>
      <c r="E33" s="15" t="str">
        <f t="shared" si="3"/>
        <v/>
      </c>
      <c r="R33" s="207" t="s">
        <v>8</v>
      </c>
      <c r="S33" s="332" t="s">
        <v>473</v>
      </c>
      <c r="T33" s="387" t="str">
        <f t="shared" si="1"/>
        <v>Die Verantwortlichen der IS erfassen Daten gemäss den Vorgaben des MDSi der SGI.</v>
      </c>
      <c r="U33" s="208"/>
      <c r="V33" s="333"/>
      <c r="W33" s="387" t="str">
        <f t="shared" si="0"/>
        <v/>
      </c>
    </row>
    <row r="34" spans="1:23" s="20" customFormat="1" ht="28">
      <c r="A34" s="138">
        <v>1</v>
      </c>
      <c r="B34" s="66"/>
      <c r="C34" s="93" t="s">
        <v>174</v>
      </c>
      <c r="D34" s="5" t="str">
        <f t="shared" si="2"/>
        <v>Die Strukturdaten des vergangenen Jahres sind bis spätestens 28. Februar auf dem zentralen Server.</v>
      </c>
      <c r="E34" s="28" t="str">
        <f t="shared" si="3"/>
        <v/>
      </c>
      <c r="R34" s="207" t="s">
        <v>9</v>
      </c>
      <c r="S34" s="332" t="s">
        <v>474</v>
      </c>
      <c r="T34" s="387" t="str">
        <f t="shared" si="1"/>
        <v>Die Strukturdaten des vergangenen Jahres sind bis spätestens 28. Februar auf dem zentralen Server.</v>
      </c>
      <c r="U34" s="208"/>
      <c r="V34" s="333"/>
      <c r="W34" s="387" t="str">
        <f t="shared" si="0"/>
        <v/>
      </c>
    </row>
    <row r="35" spans="1:23" s="370" customFormat="1" ht="15">
      <c r="A35" s="84"/>
      <c r="B35" s="83"/>
      <c r="C35" s="96">
        <v>1.3</v>
      </c>
      <c r="D35" s="4" t="str">
        <f t="shared" si="2"/>
        <v>Bettenzahl</v>
      </c>
      <c r="E35" s="4" t="str">
        <f t="shared" si="3"/>
        <v/>
      </c>
      <c r="R35" s="206" t="s">
        <v>10</v>
      </c>
      <c r="S35" s="331" t="s">
        <v>475</v>
      </c>
      <c r="T35" s="387" t="str">
        <f t="shared" ref="T35:T66" si="4">IF(R35=0,"",IF($A$1="D",R35,S35))</f>
        <v>Bettenzahl</v>
      </c>
      <c r="U35" s="206"/>
      <c r="V35" s="331"/>
      <c r="W35" s="387" t="str">
        <f t="shared" si="0"/>
        <v/>
      </c>
    </row>
    <row r="36" spans="1:23" s="20" customFormat="1" ht="14">
      <c r="A36" s="138">
        <v>1</v>
      </c>
      <c r="B36" s="66"/>
      <c r="C36" s="93" t="s">
        <v>175</v>
      </c>
      <c r="D36" s="6" t="str">
        <f t="shared" si="2"/>
        <v>Minimale Anzahl betriebener Betten: 6</v>
      </c>
      <c r="E36" s="6" t="str">
        <f t="shared" si="3"/>
        <v>Dokument, Visitation</v>
      </c>
      <c r="R36" s="208" t="s">
        <v>332</v>
      </c>
      <c r="S36" s="333" t="s">
        <v>476</v>
      </c>
      <c r="T36" s="387" t="str">
        <f t="shared" si="4"/>
        <v>Minimale Anzahl betriebener Betten: 6</v>
      </c>
      <c r="U36" s="208" t="s">
        <v>37</v>
      </c>
      <c r="V36" s="333" t="s">
        <v>766</v>
      </c>
      <c r="W36" s="387" t="str">
        <f t="shared" si="0"/>
        <v>Dokument, Visitation</v>
      </c>
    </row>
    <row r="37" spans="1:23" s="20" customFormat="1" ht="42">
      <c r="A37" s="98"/>
      <c r="B37" s="65" t="s">
        <v>335</v>
      </c>
      <c r="C37" s="93" t="s">
        <v>176</v>
      </c>
      <c r="D37" s="6" t="str">
        <f t="shared" ref="D37:D68" si="5">T37</f>
        <v>Betriebene Betten ≥ 12 sollten in funktionelle Untereinheiten aufgeteilt sein. Für IS mit &lt;12 Betten wird im Feld «Kann-Kriterium» eine «2» eingetragen.</v>
      </c>
      <c r="E37" s="6" t="str">
        <f t="shared" si="3"/>
        <v>Dokument, Visitation</v>
      </c>
      <c r="R37" s="208" t="s">
        <v>2008</v>
      </c>
      <c r="S37" s="1939" t="s">
        <v>2009</v>
      </c>
      <c r="T37" s="387" t="str">
        <f t="shared" si="4"/>
        <v>Betriebene Betten ≥ 12 sollten in funktionelle Untereinheiten aufgeteilt sein. Für IS mit &lt;12 Betten wird im Feld «Kann-Kriterium» eine «2» eingetragen.</v>
      </c>
      <c r="U37" s="208" t="s">
        <v>37</v>
      </c>
      <c r="V37" s="333" t="s">
        <v>766</v>
      </c>
      <c r="W37" s="387" t="str">
        <f t="shared" si="0"/>
        <v>Dokument, Visitation</v>
      </c>
    </row>
    <row r="38" spans="1:23" s="370" customFormat="1" ht="14">
      <c r="A38" s="29"/>
      <c r="B38" s="82"/>
      <c r="C38" s="378">
        <v>1.4</v>
      </c>
      <c r="D38" s="379" t="str">
        <f t="shared" si="5"/>
        <v>Patienten, Kategorisierung/Schweregrad und Pflegetage</v>
      </c>
      <c r="E38" s="29" t="str">
        <f t="shared" si="3"/>
        <v/>
      </c>
      <c r="R38" s="380" t="s">
        <v>322</v>
      </c>
      <c r="S38" s="381" t="s">
        <v>477</v>
      </c>
      <c r="T38" s="387" t="str">
        <f t="shared" si="4"/>
        <v>Patienten, Kategorisierung/Schweregrad und Pflegetage</v>
      </c>
      <c r="U38" s="223"/>
      <c r="V38" s="349"/>
      <c r="W38" s="387" t="str">
        <f t="shared" si="0"/>
        <v/>
      </c>
    </row>
    <row r="39" spans="1:23" s="27" customFormat="1" ht="289" customHeight="1">
      <c r="A39" s="99"/>
      <c r="B39" s="82"/>
      <c r="C39" s="97"/>
      <c r="D39" s="177" t="str">
        <f t="shared" si="5"/>
        <v xml:space="preserve">          Tabelle auf Deutsch</v>
      </c>
      <c r="E39" s="177" t="str">
        <f>W39</f>
        <v xml:space="preserve">      Tabelle auf Französisch</v>
      </c>
      <c r="R39" s="209" t="s">
        <v>598</v>
      </c>
      <c r="S39" s="334" t="s">
        <v>599</v>
      </c>
      <c r="T39" s="383" t="str">
        <f t="shared" si="4"/>
        <v xml:space="preserve">          Tabelle auf Deutsch</v>
      </c>
      <c r="U39" s="224" t="s">
        <v>600</v>
      </c>
      <c r="V39" s="334" t="s">
        <v>601</v>
      </c>
      <c r="W39" s="383" t="str">
        <f t="shared" si="0"/>
        <v xml:space="preserve">      Tabelle auf Französisch</v>
      </c>
    </row>
    <row r="40" spans="1:23" ht="22">
      <c r="A40" s="138">
        <v>1</v>
      </c>
      <c r="B40" s="66"/>
      <c r="C40" s="93" t="s">
        <v>177</v>
      </c>
      <c r="D40" s="115" t="str">
        <f t="shared" si="5"/>
        <v>Die Patientenkategorisierung geschieht nach den Vorgaben des MDSi.</v>
      </c>
      <c r="E40" s="6" t="str">
        <f>W40</f>
        <v>Visitation</v>
      </c>
      <c r="R40" s="207" t="s">
        <v>694</v>
      </c>
      <c r="S40" s="332" t="s">
        <v>481</v>
      </c>
      <c r="T40" s="383" t="str">
        <f t="shared" si="4"/>
        <v>Die Patientenkategorisierung geschieht nach den Vorgaben des MDSi.</v>
      </c>
      <c r="U40" s="208" t="s">
        <v>3</v>
      </c>
      <c r="V40" s="333" t="s">
        <v>480</v>
      </c>
      <c r="W40" s="383" t="str">
        <f t="shared" si="0"/>
        <v>Visitation</v>
      </c>
    </row>
    <row r="41" spans="1:23" ht="44">
      <c r="A41" s="138">
        <v>1</v>
      </c>
      <c r="B41" s="66"/>
      <c r="C41" s="93" t="s">
        <v>178</v>
      </c>
      <c r="D41" s="115" t="str">
        <f t="shared" si="5"/>
        <v>Alle Patienten, die auf der IS behandelt werden, inklusive Patienten nach Schlaganfall oder zukünftig andere Gruppen, werden nach den Kriterien des MDSi kategorisiert und statistisch erfasst.</v>
      </c>
      <c r="E41" s="6" t="str">
        <f t="shared" ref="E41:E105" si="6">W41</f>
        <v>Visitation, Organisationsreglement</v>
      </c>
      <c r="R41" s="207" t="s">
        <v>14</v>
      </c>
      <c r="S41" s="332" t="s">
        <v>482</v>
      </c>
      <c r="T41" s="383" t="str">
        <f t="shared" si="4"/>
        <v>Alle Patienten, die auf der IS behandelt werden, inklusive Patienten nach Schlaganfall oder zukünftig andere Gruppen, werden nach den Kriterien des MDSi kategorisiert und statistisch erfasst.</v>
      </c>
      <c r="U41" s="208" t="s">
        <v>15</v>
      </c>
      <c r="V41" s="333" t="s">
        <v>603</v>
      </c>
      <c r="W41" s="383" t="str">
        <f t="shared" si="0"/>
        <v>Visitation, Organisationsreglement</v>
      </c>
    </row>
    <row r="42" spans="1:23" ht="196">
      <c r="A42" s="138">
        <v>1</v>
      </c>
      <c r="B42" s="66"/>
      <c r="C42" s="93" t="s">
        <v>179</v>
      </c>
      <c r="D42" s="7" t="str">
        <f t="shared" si="5"/>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E42" s="6" t="str">
        <f t="shared" si="6"/>
        <v xml:space="preserve">MDSi      </v>
      </c>
      <c r="R42" s="207" t="s">
        <v>1828</v>
      </c>
      <c r="S42" s="332" t="s">
        <v>1829</v>
      </c>
      <c r="T42" s="383" t="str">
        <f t="shared" si="4"/>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U42" s="208" t="s">
        <v>16</v>
      </c>
      <c r="V42" s="333" t="s">
        <v>16</v>
      </c>
      <c r="W42" s="383" t="str">
        <f t="shared" si="0"/>
        <v xml:space="preserve">MDSi      </v>
      </c>
    </row>
    <row r="43" spans="1:23" ht="121">
      <c r="A43" s="138">
        <v>1</v>
      </c>
      <c r="B43" s="66"/>
      <c r="C43" s="93" t="s">
        <v>180</v>
      </c>
      <c r="D43" s="115" t="str">
        <f t="shared" si="5"/>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3" s="6" t="str">
        <f t="shared" si="6"/>
        <v>MDSi</v>
      </c>
      <c r="R43" s="207" t="s">
        <v>1830</v>
      </c>
      <c r="S43" s="332" t="s">
        <v>1831</v>
      </c>
      <c r="T43" s="383" t="str">
        <f t="shared" si="4"/>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U43" s="208" t="s">
        <v>17</v>
      </c>
      <c r="V43" s="333" t="s">
        <v>17</v>
      </c>
      <c r="W43" s="383" t="str">
        <f t="shared" si="0"/>
        <v>MDSi</v>
      </c>
    </row>
    <row r="44" spans="1:23" ht="132">
      <c r="A44" s="138">
        <v>1</v>
      </c>
      <c r="B44" s="66"/>
      <c r="C44" s="93" t="s">
        <v>181</v>
      </c>
      <c r="D44" s="115" t="str">
        <f t="shared" si="5"/>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4" s="6" t="str">
        <f t="shared" si="6"/>
        <v>MDSi</v>
      </c>
      <c r="R44" s="207" t="s">
        <v>1832</v>
      </c>
      <c r="S44" s="332" t="s">
        <v>1833</v>
      </c>
      <c r="T44" s="383" t="str">
        <f t="shared" si="4"/>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U44" s="208" t="s">
        <v>17</v>
      </c>
      <c r="V44" s="333" t="s">
        <v>17</v>
      </c>
      <c r="W44" s="383" t="str">
        <f t="shared" si="0"/>
        <v>MDSi</v>
      </c>
    </row>
    <row r="45" spans="1:23" ht="28">
      <c r="A45" s="138">
        <v>1</v>
      </c>
      <c r="B45" s="66"/>
      <c r="C45" s="93" t="s">
        <v>182</v>
      </c>
      <c r="D45" s="115" t="str">
        <f t="shared" si="5"/>
        <v>Der Aufwachraum ist örtlich und organisatorisch von der IS getrennt</v>
      </c>
      <c r="E45" s="6" t="str">
        <f t="shared" si="6"/>
        <v>Visitation</v>
      </c>
      <c r="R45" s="207" t="s">
        <v>331</v>
      </c>
      <c r="S45" s="332" t="s">
        <v>483</v>
      </c>
      <c r="T45" s="383" t="str">
        <f t="shared" si="4"/>
        <v>Der Aufwachraum ist örtlich und organisatorisch von der IS getrennt</v>
      </c>
      <c r="U45" s="208" t="s">
        <v>3</v>
      </c>
      <c r="V45" s="333" t="s">
        <v>480</v>
      </c>
      <c r="W45" s="383" t="str">
        <f t="shared" si="0"/>
        <v>Visitation</v>
      </c>
    </row>
    <row r="46" spans="1:23" ht="28">
      <c r="A46" s="98"/>
      <c r="B46" s="65" t="s">
        <v>335</v>
      </c>
      <c r="C46" s="93" t="s">
        <v>183</v>
      </c>
      <c r="D46" s="115" t="str">
        <f t="shared" si="5"/>
        <v>Aufwachpatienten dürfen nur zu Randzeiten auf der IS behandelt werden.</v>
      </c>
      <c r="E46" s="6" t="str">
        <f t="shared" si="6"/>
        <v xml:space="preserve">Visitation </v>
      </c>
      <c r="R46" s="207" t="s">
        <v>18</v>
      </c>
      <c r="S46" s="332" t="s">
        <v>484</v>
      </c>
      <c r="T46" s="383" t="str">
        <f t="shared" si="4"/>
        <v>Aufwachpatienten dürfen nur zu Randzeiten auf der IS behandelt werden.</v>
      </c>
      <c r="U46" s="208" t="s">
        <v>19</v>
      </c>
      <c r="V46" s="333" t="s">
        <v>480</v>
      </c>
      <c r="W46" s="383" t="str">
        <f t="shared" si="0"/>
        <v xml:space="preserve">Visitation </v>
      </c>
    </row>
    <row r="47" spans="1:23" ht="28">
      <c r="A47" s="138">
        <v>1</v>
      </c>
      <c r="B47" s="66"/>
      <c r="C47" s="93" t="s">
        <v>184</v>
      </c>
      <c r="D47" s="115" t="str">
        <f t="shared" si="5"/>
        <v>Aufwachpatienten dürfen nicht im MDSi als Intensivpatienten erfasst werden.</v>
      </c>
      <c r="E47" s="6" t="str">
        <f t="shared" si="6"/>
        <v>Visitation</v>
      </c>
      <c r="R47" s="207" t="s">
        <v>20</v>
      </c>
      <c r="S47" s="332" t="s">
        <v>485</v>
      </c>
      <c r="T47" s="383" t="str">
        <f t="shared" si="4"/>
        <v>Aufwachpatienten dürfen nicht im MDSi als Intensivpatienten erfasst werden.</v>
      </c>
      <c r="U47" s="208" t="s">
        <v>3</v>
      </c>
      <c r="V47" s="333" t="s">
        <v>480</v>
      </c>
      <c r="W47" s="383" t="str">
        <f t="shared" si="0"/>
        <v>Visitation</v>
      </c>
    </row>
    <row r="48" spans="1:23" s="30" customFormat="1" ht="18">
      <c r="A48" s="3"/>
      <c r="B48" s="71"/>
      <c r="C48" s="86">
        <v>2</v>
      </c>
      <c r="D48" s="3" t="str">
        <f t="shared" si="5"/>
        <v>Räumliche/architektonische Anforderungen</v>
      </c>
      <c r="E48" s="3" t="str">
        <f t="shared" si="6"/>
        <v/>
      </c>
      <c r="R48" s="205" t="s">
        <v>21</v>
      </c>
      <c r="S48" s="330" t="s">
        <v>486</v>
      </c>
      <c r="T48" s="383" t="str">
        <f t="shared" si="4"/>
        <v>Räumliche/architektonische Anforderungen</v>
      </c>
      <c r="U48" s="205"/>
      <c r="V48" s="330"/>
      <c r="W48" s="383" t="str">
        <f t="shared" si="0"/>
        <v/>
      </c>
    </row>
    <row r="49" spans="1:26" s="27" customFormat="1" ht="15">
      <c r="A49" s="84"/>
      <c r="B49" s="81"/>
      <c r="C49" s="96">
        <v>2.1</v>
      </c>
      <c r="D49" s="4" t="str">
        <f t="shared" si="5"/>
        <v>Lokalisation im Spital und Lärm</v>
      </c>
      <c r="E49" s="26" t="str">
        <f t="shared" si="6"/>
        <v/>
      </c>
      <c r="R49" s="206" t="s">
        <v>22</v>
      </c>
      <c r="S49" s="331" t="s">
        <v>487</v>
      </c>
      <c r="T49" s="383" t="str">
        <f t="shared" si="4"/>
        <v>Lokalisation im Spital und Lärm</v>
      </c>
      <c r="U49" s="222"/>
      <c r="V49" s="348"/>
      <c r="W49" s="383" t="str">
        <f t="shared" si="0"/>
        <v/>
      </c>
    </row>
    <row r="50" spans="1:26" ht="42">
      <c r="A50" s="138">
        <v>1</v>
      </c>
      <c r="B50" s="66"/>
      <c r="C50" s="93" t="s">
        <v>185</v>
      </c>
      <c r="D50" s="115" t="str">
        <f t="shared" si="5"/>
        <v xml:space="preserve">Die IS umfasst ein genau definiertes und von anderen Stationen (Notfallstation, Aufwachraum, Intermediate-Care-Station [nicht abschliessende Aufzählung]) getrenntes Areal. </v>
      </c>
      <c r="E50" s="6" t="str">
        <f t="shared" si="6"/>
        <v>Pläne, Visitation</v>
      </c>
      <c r="R50" s="207" t="s">
        <v>695</v>
      </c>
      <c r="S50" s="332" t="s">
        <v>488</v>
      </c>
      <c r="T50" s="383" t="str">
        <f t="shared" si="4"/>
        <v xml:space="preserve">Die IS umfasst ein genau definiertes und von anderen Stationen (Notfallstation, Aufwachraum, Intermediate-Care-Station [nicht abschliessende Aufzählung]) getrenntes Areal. </v>
      </c>
      <c r="U50" s="208" t="s">
        <v>23</v>
      </c>
      <c r="V50" s="333" t="s">
        <v>604</v>
      </c>
      <c r="W50" s="383" t="str">
        <f t="shared" si="0"/>
        <v>Pläne, Visitation</v>
      </c>
    </row>
    <row r="51" spans="1:26" ht="84">
      <c r="A51" s="98"/>
      <c r="B51" s="65" t="s">
        <v>335</v>
      </c>
      <c r="C51" s="93" t="s">
        <v>186</v>
      </c>
      <c r="D51" s="115" t="str">
        <f t="shared" si="5"/>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E51" s="6" t="str">
        <f t="shared" si="6"/>
        <v>Pläne, Visitation</v>
      </c>
      <c r="R51" s="207" t="s">
        <v>696</v>
      </c>
      <c r="S51" s="332" t="s">
        <v>489</v>
      </c>
      <c r="T51" s="383" t="str">
        <f t="shared" si="4"/>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U51" s="208" t="s">
        <v>23</v>
      </c>
      <c r="V51" s="333" t="s">
        <v>604</v>
      </c>
      <c r="W51" s="383" t="str">
        <f t="shared" si="0"/>
        <v>Pläne, Visitation</v>
      </c>
    </row>
    <row r="52" spans="1:26" ht="28">
      <c r="A52" s="138">
        <v>1</v>
      </c>
      <c r="B52" s="66"/>
      <c r="C52" s="93" t="s">
        <v>187</v>
      </c>
      <c r="D52" s="115" t="str">
        <f t="shared" si="5"/>
        <v xml:space="preserve">Durch die IS findet kein Durchgangsverkehr von Patienten, Personal oder Material statt. </v>
      </c>
      <c r="E52" s="6" t="str">
        <f t="shared" si="6"/>
        <v>Pläne, Visitation</v>
      </c>
      <c r="R52" s="207" t="s">
        <v>697</v>
      </c>
      <c r="S52" s="332" t="s">
        <v>490</v>
      </c>
      <c r="T52" s="383" t="str">
        <f t="shared" si="4"/>
        <v xml:space="preserve">Durch die IS findet kein Durchgangsverkehr von Patienten, Personal oder Material statt. </v>
      </c>
      <c r="U52" s="208" t="s">
        <v>23</v>
      </c>
      <c r="V52" s="333" t="s">
        <v>604</v>
      </c>
      <c r="W52" s="383" t="str">
        <f t="shared" si="0"/>
        <v>Pläne, Visitation</v>
      </c>
    </row>
    <row r="53" spans="1:26" ht="70">
      <c r="A53" s="78"/>
      <c r="B53" s="65" t="s">
        <v>335</v>
      </c>
      <c r="C53" s="176" t="s">
        <v>297</v>
      </c>
      <c r="D53" s="8" t="str">
        <f t="shared" si="5"/>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E53" s="31" t="str">
        <f t="shared" si="6"/>
        <v>Baudokumentation, Gerätedokumentation, Visitation</v>
      </c>
      <c r="R53" s="210" t="s">
        <v>698</v>
      </c>
      <c r="S53" s="335" t="s">
        <v>491</v>
      </c>
      <c r="T53" s="383" t="str">
        <f t="shared" si="4"/>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U53" s="225" t="s">
        <v>24</v>
      </c>
      <c r="V53" s="350" t="s">
        <v>605</v>
      </c>
      <c r="W53" s="383" t="str">
        <f t="shared" si="0"/>
        <v>Baudokumentation, Gerätedokumentation, Visitation</v>
      </c>
    </row>
    <row r="54" spans="1:26" ht="17">
      <c r="A54" s="14"/>
      <c r="B54" s="77"/>
      <c r="C54" s="87">
        <v>2.2000000000000002</v>
      </c>
      <c r="D54" s="9" t="str">
        <f t="shared" si="5"/>
        <v>Zugang und Besuch</v>
      </c>
      <c r="E54" s="32" t="str">
        <f t="shared" si="6"/>
        <v/>
      </c>
      <c r="R54" s="211" t="s">
        <v>25</v>
      </c>
      <c r="S54" s="336" t="s">
        <v>492</v>
      </c>
      <c r="T54" s="383" t="str">
        <f t="shared" si="4"/>
        <v>Zugang und Besuch</v>
      </c>
      <c r="U54" s="226"/>
      <c r="V54" s="351"/>
      <c r="W54" s="383" t="str">
        <f t="shared" si="0"/>
        <v/>
      </c>
    </row>
    <row r="55" spans="1:26" ht="28">
      <c r="A55" s="98"/>
      <c r="B55" s="65" t="s">
        <v>335</v>
      </c>
      <c r="C55" s="114" t="s">
        <v>188</v>
      </c>
      <c r="D55" s="6" t="str">
        <f t="shared" si="5"/>
        <v>Getrennte Zugänge für Betten, Stationspersonal einerseits und Besucher</v>
      </c>
      <c r="E55" s="6" t="str">
        <f t="shared" si="6"/>
        <v>Pläne, Visitation</v>
      </c>
      <c r="R55" s="212" t="s">
        <v>699</v>
      </c>
      <c r="S55" s="337" t="s">
        <v>493</v>
      </c>
      <c r="T55" s="383" t="str">
        <f t="shared" si="4"/>
        <v>Getrennte Zugänge für Betten, Stationspersonal einerseits und Besucher</v>
      </c>
      <c r="U55" s="208" t="s">
        <v>23</v>
      </c>
      <c r="V55" s="333" t="s">
        <v>604</v>
      </c>
      <c r="W55" s="383" t="str">
        <f t="shared" si="0"/>
        <v>Pläne, Visitation</v>
      </c>
    </row>
    <row r="56" spans="1:26" ht="28">
      <c r="A56" s="98"/>
      <c r="B56" s="65" t="s">
        <v>335</v>
      </c>
      <c r="C56" s="114" t="s">
        <v>189</v>
      </c>
      <c r="D56" s="5" t="str">
        <f t="shared" si="5"/>
        <v>Ein Besuchsreglement ist vorhanden. Es erklärt und regelt Zeiten und Besuchs-limitationen.</v>
      </c>
      <c r="E56" s="10" t="str">
        <f t="shared" si="6"/>
        <v>Dokument</v>
      </c>
      <c r="R56" s="207" t="s">
        <v>26</v>
      </c>
      <c r="S56" s="332" t="s">
        <v>494</v>
      </c>
      <c r="T56" s="383" t="str">
        <f t="shared" si="4"/>
        <v>Ein Besuchsreglement ist vorhanden. Es erklärt und regelt Zeiten und Besuchs-limitationen.</v>
      </c>
      <c r="U56" s="208" t="s">
        <v>2</v>
      </c>
      <c r="V56" s="333" t="s">
        <v>479</v>
      </c>
      <c r="W56" s="383" t="str">
        <f t="shared" si="0"/>
        <v>Dokument</v>
      </c>
    </row>
    <row r="57" spans="1:26" ht="16">
      <c r="A57" s="138">
        <v>1</v>
      </c>
      <c r="B57" s="77"/>
      <c r="C57" s="114" t="s">
        <v>190</v>
      </c>
      <c r="D57" s="10" t="str">
        <f t="shared" si="5"/>
        <v>Es gibt eine Anmeldevorrichtung für Besucher.</v>
      </c>
      <c r="E57" s="10" t="str">
        <f t="shared" si="6"/>
        <v>Visitation</v>
      </c>
      <c r="R57" s="208" t="s">
        <v>27</v>
      </c>
      <c r="S57" s="333" t="s">
        <v>495</v>
      </c>
      <c r="T57" s="383" t="str">
        <f t="shared" si="4"/>
        <v>Es gibt eine Anmeldevorrichtung für Besucher.</v>
      </c>
      <c r="U57" s="208" t="s">
        <v>3</v>
      </c>
      <c r="V57" s="333" t="s">
        <v>480</v>
      </c>
      <c r="W57" s="383" t="str">
        <f t="shared" si="0"/>
        <v>Visitation</v>
      </c>
    </row>
    <row r="58" spans="1:26" ht="17">
      <c r="A58" s="14"/>
      <c r="B58" s="77"/>
      <c r="C58" s="87">
        <v>2.2999999999999998</v>
      </c>
      <c r="D58" s="9" t="str">
        <f t="shared" si="5"/>
        <v>Flächen und Distanzen</v>
      </c>
      <c r="E58" s="32" t="str">
        <f t="shared" si="6"/>
        <v/>
      </c>
      <c r="R58" s="211" t="s">
        <v>28</v>
      </c>
      <c r="S58" s="336" t="s">
        <v>496</v>
      </c>
      <c r="T58" s="383" t="str">
        <f t="shared" si="4"/>
        <v>Flächen und Distanzen</v>
      </c>
      <c r="U58" s="226"/>
      <c r="V58" s="351"/>
      <c r="W58" s="383" t="str">
        <f t="shared" si="0"/>
        <v/>
      </c>
    </row>
    <row r="59" spans="1:26" ht="17">
      <c r="A59" s="79"/>
      <c r="B59" s="77"/>
      <c r="C59" s="90" t="s">
        <v>32</v>
      </c>
      <c r="D59" s="11" t="str">
        <f t="shared" si="5"/>
        <v>Fläche pro Bett</v>
      </c>
      <c r="E59" s="32" t="str">
        <f t="shared" si="6"/>
        <v/>
      </c>
      <c r="R59" s="213" t="s">
        <v>29</v>
      </c>
      <c r="S59" s="338" t="s">
        <v>497</v>
      </c>
      <c r="T59" s="383" t="str">
        <f t="shared" si="4"/>
        <v>Fläche pro Bett</v>
      </c>
      <c r="U59" s="226"/>
      <c r="V59" s="351"/>
      <c r="W59" s="383" t="str">
        <f t="shared" si="0"/>
        <v/>
      </c>
    </row>
    <row r="60" spans="1:26" ht="42">
      <c r="A60" s="138">
        <v>1</v>
      </c>
      <c r="B60" s="77"/>
      <c r="C60" s="114" t="s">
        <v>191</v>
      </c>
      <c r="D60" s="5" t="str">
        <f t="shared" si="5"/>
        <v>Die Hauptnutzfläche (SIA 416) pro Bett beträgt mindestens 16 m2. Diese Fläche umfasst das Bett und seine unmittelbare Umgebung im Patientenzimmer.</v>
      </c>
      <c r="E60" s="10" t="str">
        <f t="shared" si="6"/>
        <v>Pläne, Visitation</v>
      </c>
      <c r="R60" s="207" t="s">
        <v>1908</v>
      </c>
      <c r="S60" s="332" t="s">
        <v>1909</v>
      </c>
      <c r="T60" s="383" t="str">
        <f t="shared" si="4"/>
        <v>Die Hauptnutzfläche (SIA 416) pro Bett beträgt mindestens 16 m2. Diese Fläche umfasst das Bett und seine unmittelbare Umgebung im Patientenzimmer.</v>
      </c>
      <c r="U60" s="208" t="s">
        <v>23</v>
      </c>
      <c r="V60" s="333" t="s">
        <v>604</v>
      </c>
      <c r="W60" s="383" t="str">
        <f t="shared" si="0"/>
        <v>Pläne, Visitation</v>
      </c>
    </row>
    <row r="61" spans="1:26" ht="16">
      <c r="A61" s="138">
        <v>1</v>
      </c>
      <c r="B61" s="77"/>
      <c r="C61" s="114" t="s">
        <v>192</v>
      </c>
      <c r="D61" s="115" t="str">
        <f t="shared" si="5"/>
        <v>Die Distanz zwischen den Betten beträgt minimal 2 Meter.</v>
      </c>
      <c r="E61" s="10" t="str">
        <f t="shared" si="6"/>
        <v>Pläne, Visitation</v>
      </c>
      <c r="R61" s="207" t="s">
        <v>700</v>
      </c>
      <c r="S61" s="332" t="s">
        <v>498</v>
      </c>
      <c r="T61" s="383" t="str">
        <f t="shared" si="4"/>
        <v>Die Distanz zwischen den Betten beträgt minimal 2 Meter.</v>
      </c>
      <c r="U61" s="208" t="s">
        <v>23</v>
      </c>
      <c r="V61" s="333" t="s">
        <v>604</v>
      </c>
      <c r="W61" s="383" t="str">
        <f t="shared" si="0"/>
        <v>Pläne, Visitation</v>
      </c>
    </row>
    <row r="62" spans="1:26" ht="28">
      <c r="A62" s="138">
        <v>1</v>
      </c>
      <c r="B62" s="77"/>
      <c r="C62" s="114" t="s">
        <v>193</v>
      </c>
      <c r="D62" s="5" t="str">
        <f t="shared" si="5"/>
        <v>Die Wandlänge am Kopfende bei jedem Bett beträgt minimal 3 Meter.</v>
      </c>
      <c r="E62" s="10" t="str">
        <f t="shared" si="6"/>
        <v>Pläne, Visitation</v>
      </c>
      <c r="R62" s="207" t="s">
        <v>701</v>
      </c>
      <c r="S62" s="332" t="s">
        <v>499</v>
      </c>
      <c r="T62" s="383" t="str">
        <f t="shared" si="4"/>
        <v>Die Wandlänge am Kopfende bei jedem Bett beträgt minimal 3 Meter.</v>
      </c>
      <c r="U62" s="208" t="s">
        <v>23</v>
      </c>
      <c r="V62" s="333" t="s">
        <v>604</v>
      </c>
      <c r="W62" s="383" t="str">
        <f t="shared" si="0"/>
        <v>Pläne, Visitation</v>
      </c>
    </row>
    <row r="63" spans="1:26" ht="16">
      <c r="A63" s="79"/>
      <c r="B63" s="77"/>
      <c r="C63" s="90" t="s">
        <v>33</v>
      </c>
      <c r="D63" s="11" t="str">
        <f t="shared" si="5"/>
        <v>Gesamtnutzfläche der IS</v>
      </c>
      <c r="E63" s="11" t="str">
        <f t="shared" si="6"/>
        <v/>
      </c>
      <c r="R63" s="213" t="s">
        <v>1952</v>
      </c>
      <c r="S63" s="338" t="s">
        <v>1950</v>
      </c>
      <c r="T63" s="383" t="str">
        <f t="shared" si="4"/>
        <v>Gesamtnutzfläche der IS</v>
      </c>
      <c r="U63" s="213"/>
      <c r="V63" s="338"/>
      <c r="W63" s="383" t="str">
        <f t="shared" si="0"/>
        <v/>
      </c>
    </row>
    <row r="64" spans="1:26" ht="39" customHeight="1">
      <c r="A64" s="1871">
        <v>1</v>
      </c>
      <c r="B64" s="1872"/>
      <c r="C64" s="1873" t="s">
        <v>194</v>
      </c>
      <c r="D64" s="1874" t="str">
        <f t="shared" si="5"/>
        <v>Die Gesamtnutzfläche, bestehend aus Haupt- und Nebennutzflächen (SIA 416),  beträgt mindestens 40 m2 pro zertifiziertem Bett.</v>
      </c>
      <c r="E64" s="1875" t="str">
        <f t="shared" si="6"/>
        <v>Pläne, Dokumentation</v>
      </c>
      <c r="R64" s="207" t="s">
        <v>1973</v>
      </c>
      <c r="S64" s="332" t="s">
        <v>1974</v>
      </c>
      <c r="T64" s="1884" t="str">
        <f t="shared" si="4"/>
        <v>Die Gesamtnutzfläche, bestehend aus Haupt- und Nebennutzflächen (SIA 416),  beträgt mindestens 40 m2 pro zertifiziertem Bett.</v>
      </c>
      <c r="U64" s="1881" t="s">
        <v>30</v>
      </c>
      <c r="V64" s="333" t="s">
        <v>606</v>
      </c>
      <c r="W64" s="383" t="str">
        <f t="shared" si="0"/>
        <v>Pläne, Dokumentation</v>
      </c>
      <c r="Z64" s="882" t="s">
        <v>1910</v>
      </c>
    </row>
    <row r="65" spans="1:26" s="609" customFormat="1" ht="160.5" customHeight="1">
      <c r="A65" s="1880"/>
      <c r="B65" s="1876"/>
      <c r="C65" s="1877"/>
      <c r="D65" s="1878" t="str">
        <f t="shared" si="5"/>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E65" s="1879"/>
      <c r="R65" s="1868" t="s">
        <v>1975</v>
      </c>
      <c r="S65" s="1869" t="s">
        <v>1976</v>
      </c>
      <c r="T65" s="1883" t="str">
        <f t="shared" si="4"/>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U65" s="1882"/>
      <c r="V65" s="335"/>
      <c r="W65" s="1870"/>
      <c r="Z65" s="884"/>
    </row>
    <row r="66" spans="1:26" ht="17">
      <c r="A66" s="79"/>
      <c r="B66" s="77"/>
      <c r="C66" s="90" t="s">
        <v>34</v>
      </c>
      <c r="D66" s="11" t="str">
        <f t="shared" si="5"/>
        <v>Einzelzimmer</v>
      </c>
      <c r="E66" s="32" t="str">
        <f t="shared" si="6"/>
        <v/>
      </c>
      <c r="R66" s="213" t="s">
        <v>31</v>
      </c>
      <c r="S66" s="338" t="s">
        <v>500</v>
      </c>
      <c r="T66" s="383" t="str">
        <f t="shared" si="4"/>
        <v>Einzelzimmer</v>
      </c>
      <c r="U66" s="226"/>
      <c r="V66" s="351"/>
      <c r="W66" s="383" t="str">
        <f t="shared" si="0"/>
        <v/>
      </c>
    </row>
    <row r="67" spans="1:26" ht="30">
      <c r="A67" s="138">
        <v>1</v>
      </c>
      <c r="B67" s="77"/>
      <c r="C67" s="114" t="s">
        <v>296</v>
      </c>
      <c r="D67" s="10" t="str">
        <f t="shared" si="5"/>
        <v>Für ein IS-Einzelzimmer beträgt die minimale Hauptnutzfläche (SIA 416) 20 m2, eine eventuelle Schleuse nicht mitgerechnet.</v>
      </c>
      <c r="E67" s="33" t="str">
        <f t="shared" si="6"/>
        <v/>
      </c>
      <c r="R67" s="208" t="s">
        <v>1911</v>
      </c>
      <c r="S67" s="333" t="s">
        <v>1912</v>
      </c>
      <c r="T67" s="383" t="str">
        <f t="shared" ref="T67:T130" si="7">IF(R67=0,"",IF($A$1="D",R67,S67))</f>
        <v>Für ein IS-Einzelzimmer beträgt die minimale Hauptnutzfläche (SIA 416) 20 m2, eine eventuelle Schleuse nicht mitgerechnet.</v>
      </c>
      <c r="U67" s="226"/>
      <c r="V67" s="351"/>
      <c r="W67" s="383" t="str">
        <f t="shared" ref="W67:W130" si="8">IF(U67=0,"",IF($A$1="D",U67,V67))</f>
        <v/>
      </c>
    </row>
    <row r="68" spans="1:26" ht="17">
      <c r="A68" s="14"/>
      <c r="B68" s="77"/>
      <c r="C68" s="87">
        <v>2.4</v>
      </c>
      <c r="D68" s="9" t="str">
        <f t="shared" si="5"/>
        <v>Gebäudeinstallation und Brandschutz</v>
      </c>
      <c r="E68" s="32" t="str">
        <f t="shared" si="6"/>
        <v/>
      </c>
      <c r="R68" s="211" t="s">
        <v>35</v>
      </c>
      <c r="S68" s="336" t="s">
        <v>501</v>
      </c>
      <c r="T68" s="383" t="str">
        <f t="shared" si="7"/>
        <v>Gebäudeinstallation und Brandschutz</v>
      </c>
      <c r="U68" s="226"/>
      <c r="V68" s="351"/>
      <c r="W68" s="383" t="str">
        <f t="shared" si="8"/>
        <v/>
      </c>
    </row>
    <row r="69" spans="1:26" ht="99">
      <c r="A69" s="98"/>
      <c r="B69" s="65" t="s">
        <v>335</v>
      </c>
      <c r="C69" s="114" t="s">
        <v>195</v>
      </c>
      <c r="D69" s="12" t="str">
        <f t="shared" ref="D69:D87" si="9">T69</f>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E69" s="32" t="str">
        <f t="shared" si="6"/>
        <v/>
      </c>
      <c r="R69" s="214" t="s">
        <v>330</v>
      </c>
      <c r="S69" s="339" t="s">
        <v>502</v>
      </c>
      <c r="T69" s="383" t="str">
        <f t="shared" si="7"/>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U69" s="226"/>
      <c r="V69" s="351"/>
      <c r="W69" s="383" t="str">
        <f t="shared" si="8"/>
        <v/>
      </c>
    </row>
    <row r="70" spans="1:26" ht="56">
      <c r="A70" s="138">
        <v>1</v>
      </c>
      <c r="B70" s="77"/>
      <c r="C70" s="114" t="s">
        <v>196</v>
      </c>
      <c r="D70" s="7" t="str">
        <f t="shared" si="9"/>
        <v>Die Leitung der IS legt ein unterzeichnetes Dokument der zuständigen Spitalstellen vor, worin das Einhalten der obigen Normen und Richtlinien in der Version zum Zeitpunkt des Baus bzw. des Umbaus bestätigt wird.</v>
      </c>
      <c r="E70" s="6" t="str">
        <f t="shared" si="6"/>
        <v>Dokument, Visitation</v>
      </c>
      <c r="R70" s="207" t="s">
        <v>36</v>
      </c>
      <c r="S70" s="332" t="s">
        <v>503</v>
      </c>
      <c r="T70" s="383" t="str">
        <f t="shared" si="7"/>
        <v>Die Leitung der IS legt ein unterzeichnetes Dokument der zuständigen Spitalstellen vor, worin das Einhalten der obigen Normen und Richtlinien in der Version zum Zeitpunkt des Baus bzw. des Umbaus bestätigt wird.</v>
      </c>
      <c r="U70" s="208" t="s">
        <v>37</v>
      </c>
      <c r="V70" s="333" t="s">
        <v>607</v>
      </c>
      <c r="W70" s="383" t="str">
        <f t="shared" si="8"/>
        <v>Dokument, Visitation</v>
      </c>
    </row>
    <row r="71" spans="1:26" ht="28">
      <c r="A71" s="138">
        <v>1</v>
      </c>
      <c r="B71" s="66"/>
      <c r="C71" s="114" t="s">
        <v>197</v>
      </c>
      <c r="D71" s="7" t="str">
        <f t="shared" si="9"/>
        <v>Für Patientenzimmer gilt die Einteilung in Gruppe 2 gemäss NIN-Normen.</v>
      </c>
      <c r="E71" s="6" t="str">
        <f t="shared" si="6"/>
        <v>Dokument, Visitation</v>
      </c>
      <c r="R71" s="207" t="s">
        <v>1765</v>
      </c>
      <c r="S71" s="332" t="s">
        <v>1766</v>
      </c>
      <c r="T71" s="383" t="str">
        <f t="shared" si="7"/>
        <v>Für Patientenzimmer gilt die Einteilung in Gruppe 2 gemäss NIN-Normen.</v>
      </c>
      <c r="U71" s="208" t="s">
        <v>37</v>
      </c>
      <c r="V71" s="333" t="s">
        <v>607</v>
      </c>
      <c r="W71" s="383" t="str">
        <f t="shared" si="8"/>
        <v>Dokument, Visitation</v>
      </c>
    </row>
    <row r="72" spans="1:26" ht="42">
      <c r="A72" s="138">
        <v>1</v>
      </c>
      <c r="B72" s="66"/>
      <c r="C72" s="114" t="s">
        <v>198</v>
      </c>
      <c r="D72" s="7" t="str">
        <f t="shared" si="9"/>
        <v>In Patientenzimmern ist mindestens der Wärme- und Klima-Standard für Räume mit erhöhten hygienischen Ansprüchen gemäss SWKI Richtlinien umgesetzt.</v>
      </c>
      <c r="E72" s="6" t="str">
        <f t="shared" si="6"/>
        <v>Dokument, Visitation</v>
      </c>
      <c r="R72" s="207" t="s">
        <v>38</v>
      </c>
      <c r="S72" s="332" t="s">
        <v>504</v>
      </c>
      <c r="T72" s="383" t="str">
        <f t="shared" si="7"/>
        <v>In Patientenzimmern ist mindestens der Wärme- und Klima-Standard für Räume mit erhöhten hygienischen Ansprüchen gemäss SWKI Richtlinien umgesetzt.</v>
      </c>
      <c r="U72" s="208" t="s">
        <v>37</v>
      </c>
      <c r="V72" s="333" t="s">
        <v>607</v>
      </c>
      <c r="W72" s="383" t="str">
        <f t="shared" si="8"/>
        <v>Dokument, Visitation</v>
      </c>
    </row>
    <row r="73" spans="1:26" ht="17">
      <c r="A73" s="14"/>
      <c r="B73" s="68"/>
      <c r="C73" s="87">
        <v>2.5</v>
      </c>
      <c r="D73" s="9" t="str">
        <f t="shared" si="9"/>
        <v>Räumlichkeiten und Einrichtungen</v>
      </c>
      <c r="E73" s="32" t="str">
        <f t="shared" si="6"/>
        <v/>
      </c>
      <c r="R73" s="211" t="s">
        <v>39</v>
      </c>
      <c r="S73" s="336" t="s">
        <v>505</v>
      </c>
      <c r="T73" s="383" t="str">
        <f t="shared" si="7"/>
        <v>Räumlichkeiten und Einrichtungen</v>
      </c>
      <c r="U73" s="226"/>
      <c r="V73" s="351"/>
      <c r="W73" s="383" t="str">
        <f t="shared" si="8"/>
        <v/>
      </c>
    </row>
    <row r="74" spans="1:26" ht="17">
      <c r="A74" s="79"/>
      <c r="B74" s="68"/>
      <c r="C74" s="95" t="s">
        <v>45</v>
      </c>
      <c r="D74" s="11" t="str">
        <f t="shared" si="9"/>
        <v>Patientenzimmer</v>
      </c>
      <c r="E74" s="32" t="str">
        <f t="shared" si="6"/>
        <v/>
      </c>
      <c r="R74" s="213" t="s">
        <v>40</v>
      </c>
      <c r="S74" s="338" t="s">
        <v>506</v>
      </c>
      <c r="T74" s="383" t="str">
        <f t="shared" si="7"/>
        <v>Patientenzimmer</v>
      </c>
      <c r="U74" s="226"/>
      <c r="V74" s="351"/>
      <c r="W74" s="383" t="str">
        <f t="shared" si="8"/>
        <v/>
      </c>
    </row>
    <row r="75" spans="1:26" ht="14">
      <c r="A75" s="98"/>
      <c r="B75" s="65" t="s">
        <v>335</v>
      </c>
      <c r="C75" s="114" t="s">
        <v>199</v>
      </c>
      <c r="D75" s="115" t="str">
        <f t="shared" si="9"/>
        <v>In jedem Zimmer ist eine Wanduhr installiert.</v>
      </c>
      <c r="E75" s="6" t="str">
        <f t="shared" si="6"/>
        <v>Visitation</v>
      </c>
      <c r="R75" s="207" t="s">
        <v>702</v>
      </c>
      <c r="S75" s="332" t="s">
        <v>507</v>
      </c>
      <c r="T75" s="383" t="str">
        <f t="shared" si="7"/>
        <v>In jedem Zimmer ist eine Wanduhr installiert.</v>
      </c>
      <c r="U75" s="208" t="s">
        <v>3</v>
      </c>
      <c r="V75" s="333" t="s">
        <v>480</v>
      </c>
      <c r="W75" s="383" t="str">
        <f t="shared" si="8"/>
        <v>Visitation</v>
      </c>
    </row>
    <row r="76" spans="1:26" ht="44">
      <c r="A76" s="98"/>
      <c r="B76" s="65" t="s">
        <v>335</v>
      </c>
      <c r="C76" s="114" t="s">
        <v>200</v>
      </c>
      <c r="D76" s="115" t="str">
        <f t="shared" si="9"/>
        <v>Zur Verbesserung der Überwachung muss der obere Teil der Türen und der Trennwände verglast sein. Integrierte Storen oder andere wirksame Sichtschutzmassnahmen verhindern unerwünschte optische Störungen.</v>
      </c>
      <c r="E76" s="6" t="str">
        <f t="shared" si="6"/>
        <v>Visitation</v>
      </c>
      <c r="R76" s="207" t="s">
        <v>703</v>
      </c>
      <c r="S76" s="332" t="s">
        <v>508</v>
      </c>
      <c r="T76" s="383" t="str">
        <f t="shared" si="7"/>
        <v>Zur Verbesserung der Überwachung muss der obere Teil der Türen und der Trennwände verglast sein. Integrierte Storen oder andere wirksame Sichtschutzmassnahmen verhindern unerwünschte optische Störungen.</v>
      </c>
      <c r="U76" s="208" t="s">
        <v>3</v>
      </c>
      <c r="V76" s="333" t="s">
        <v>480</v>
      </c>
      <c r="W76" s="383" t="str">
        <f t="shared" si="8"/>
        <v>Visitation</v>
      </c>
    </row>
    <row r="77" spans="1:26" ht="28">
      <c r="A77" s="98"/>
      <c r="B77" s="65" t="s">
        <v>335</v>
      </c>
      <c r="C77" s="114" t="s">
        <v>201</v>
      </c>
      <c r="D77" s="115" t="str">
        <f t="shared" si="9"/>
        <v xml:space="preserve">Jedes Zimmer soll einen Blick nach aussen ermöglichen, um den Patienten die räumliche Orientierung zu erleichtern. </v>
      </c>
      <c r="E77" s="32" t="str">
        <f t="shared" si="6"/>
        <v/>
      </c>
      <c r="R77" s="207" t="s">
        <v>41</v>
      </c>
      <c r="S77" s="332" t="s">
        <v>509</v>
      </c>
      <c r="T77" s="383" t="str">
        <f t="shared" si="7"/>
        <v xml:space="preserve">Jedes Zimmer soll einen Blick nach aussen ermöglichen, um den Patienten die räumliche Orientierung zu erleichtern. </v>
      </c>
      <c r="U77" s="226"/>
      <c r="V77" s="351"/>
      <c r="W77" s="383" t="str">
        <f t="shared" si="8"/>
        <v/>
      </c>
    </row>
    <row r="78" spans="1:26" ht="42">
      <c r="A78" s="138">
        <v>1</v>
      </c>
      <c r="B78" s="77"/>
      <c r="C78" s="114" t="s">
        <v>202</v>
      </c>
      <c r="D78" s="5" t="str">
        <f>T78</f>
        <v>Für jeden Bettenplatz ist ein zugehöriges Lavabo definiert. Das Lavabo muss nicht im Zimmer sein. Ein Lavabo kann mehrere Bettenplätze versorgen.</v>
      </c>
      <c r="E78" s="6" t="str">
        <f t="shared" si="6"/>
        <v>Visitation</v>
      </c>
      <c r="R78" s="207" t="s">
        <v>2010</v>
      </c>
      <c r="S78" s="332" t="s">
        <v>2017</v>
      </c>
      <c r="T78" s="383" t="str">
        <f t="shared" si="7"/>
        <v>Für jeden Bettenplatz ist ein zugehöriges Lavabo definiert. Das Lavabo muss nicht im Zimmer sein. Ein Lavabo kann mehrere Bettenplätze versorgen.</v>
      </c>
      <c r="U78" s="208" t="s">
        <v>3</v>
      </c>
      <c r="V78" s="333" t="s">
        <v>480</v>
      </c>
      <c r="W78" s="383" t="str">
        <f t="shared" si="8"/>
        <v>Visitation</v>
      </c>
    </row>
    <row r="79" spans="1:26" ht="56">
      <c r="A79" s="98"/>
      <c r="B79" s="65" t="s">
        <v>335</v>
      </c>
      <c r="C79" s="114" t="s">
        <v>203</v>
      </c>
      <c r="D79" s="13" t="str">
        <f t="shared" si="9"/>
        <v>Die Armaturen für Kalt- und Warmwasser verfügen über Ellbogen-,  Fusspedal- oder Sensorbedienung. Seifenspender, Desinfektionsmittelspender und Ab-trocknungspapierspender müssen beim Lavabo vorhanden sein.</v>
      </c>
      <c r="E79" s="6" t="str">
        <f t="shared" si="6"/>
        <v>Visitation</v>
      </c>
      <c r="R79" s="207" t="s">
        <v>42</v>
      </c>
      <c r="S79" s="332" t="s">
        <v>510</v>
      </c>
      <c r="T79" s="383" t="str">
        <f t="shared" si="7"/>
        <v>Die Armaturen für Kalt- und Warmwasser verfügen über Ellbogen-,  Fusspedal- oder Sensorbedienung. Seifenspender, Desinfektionsmittelspender und Ab-trocknungspapierspender müssen beim Lavabo vorhanden sein.</v>
      </c>
      <c r="U79" s="208" t="s">
        <v>3</v>
      </c>
      <c r="V79" s="333" t="s">
        <v>480</v>
      </c>
      <c r="W79" s="383" t="str">
        <f t="shared" si="8"/>
        <v>Visitation</v>
      </c>
    </row>
    <row r="80" spans="1:26" ht="42">
      <c r="A80" s="98"/>
      <c r="B80" s="65" t="s">
        <v>335</v>
      </c>
      <c r="C80" s="114" t="s">
        <v>204</v>
      </c>
      <c r="D80" s="13" t="str">
        <f t="shared" si="9"/>
        <v>Alle Patientenzimmeroberflächen sind desinfektionsfähig, schalldämmend, ab-waschbar, die Böden zusätzlich leicht befahrbar und rutschhemmend.</v>
      </c>
      <c r="E80" s="32" t="str">
        <f t="shared" si="6"/>
        <v/>
      </c>
      <c r="R80" s="207" t="s">
        <v>43</v>
      </c>
      <c r="S80" s="332" t="s">
        <v>511</v>
      </c>
      <c r="T80" s="383" t="str">
        <f t="shared" si="7"/>
        <v>Alle Patientenzimmeroberflächen sind desinfektionsfähig, schalldämmend, ab-waschbar, die Böden zusätzlich leicht befahrbar und rutschhemmend.</v>
      </c>
      <c r="U80" s="226"/>
      <c r="V80" s="351" t="s">
        <v>480</v>
      </c>
      <c r="W80" s="383" t="str">
        <f t="shared" si="8"/>
        <v/>
      </c>
    </row>
    <row r="81" spans="1:23" ht="16">
      <c r="A81" s="138">
        <v>1</v>
      </c>
      <c r="B81" s="77"/>
      <c r="C81" s="114" t="s">
        <v>205</v>
      </c>
      <c r="D81" s="5" t="str">
        <f t="shared" si="9"/>
        <v>Warmluft- und/oder Gebläse-Händetrockner sind nicht erlaubt.</v>
      </c>
      <c r="E81" s="6" t="str">
        <f t="shared" si="6"/>
        <v>Visitation</v>
      </c>
      <c r="R81" s="207" t="s">
        <v>44</v>
      </c>
      <c r="S81" s="332" t="s">
        <v>512</v>
      </c>
      <c r="T81" s="383" t="str">
        <f t="shared" si="7"/>
        <v>Warmluft- und/oder Gebläse-Händetrockner sind nicht erlaubt.</v>
      </c>
      <c r="U81" s="208" t="s">
        <v>3</v>
      </c>
      <c r="V81" s="333" t="s">
        <v>480</v>
      </c>
      <c r="W81" s="383" t="str">
        <f t="shared" si="8"/>
        <v>Visitation</v>
      </c>
    </row>
    <row r="82" spans="1:23" ht="17">
      <c r="A82" s="79"/>
      <c r="B82" s="77"/>
      <c r="C82" s="90" t="s">
        <v>65</v>
      </c>
      <c r="D82" s="11" t="str">
        <f t="shared" si="9"/>
        <v>Überwachung des Patienten</v>
      </c>
      <c r="E82" s="32" t="str">
        <f t="shared" si="6"/>
        <v/>
      </c>
      <c r="R82" s="213" t="s">
        <v>46</v>
      </c>
      <c r="S82" s="338" t="s">
        <v>513</v>
      </c>
      <c r="T82" s="383" t="str">
        <f t="shared" si="7"/>
        <v>Überwachung des Patienten</v>
      </c>
      <c r="U82" s="226"/>
      <c r="V82" s="351"/>
      <c r="W82" s="383" t="str">
        <f t="shared" si="8"/>
        <v/>
      </c>
    </row>
    <row r="83" spans="1:23" ht="28">
      <c r="A83" s="138">
        <v>1</v>
      </c>
      <c r="B83" s="77"/>
      <c r="C83" s="114" t="s">
        <v>206</v>
      </c>
      <c r="D83" s="5" t="str">
        <f t="shared" si="9"/>
        <v>Eine Monitor-Überwachung mit Alarmfunktion für jeden Patientenplatz muss vorhanden sein.</v>
      </c>
      <c r="E83" s="10" t="str">
        <f t="shared" si="6"/>
        <v>Visitation, Dokumentation</v>
      </c>
      <c r="R83" s="207" t="s">
        <v>704</v>
      </c>
      <c r="S83" s="332" t="s">
        <v>514</v>
      </c>
      <c r="T83" s="383" t="str">
        <f t="shared" si="7"/>
        <v>Eine Monitor-Überwachung mit Alarmfunktion für jeden Patientenplatz muss vorhanden sein.</v>
      </c>
      <c r="U83" s="208" t="s">
        <v>47</v>
      </c>
      <c r="V83" s="333" t="s">
        <v>608</v>
      </c>
      <c r="W83" s="383" t="str">
        <f t="shared" si="8"/>
        <v>Visitation, Dokumentation</v>
      </c>
    </row>
    <row r="84" spans="1:23" ht="22">
      <c r="A84" s="138">
        <v>1</v>
      </c>
      <c r="B84" s="77"/>
      <c r="C84" s="114" t="s">
        <v>207</v>
      </c>
      <c r="D84" s="5" t="str">
        <f t="shared" si="9"/>
        <v>Die Einzelmonitore sind in einer oder mehreren Zentralen integriert.</v>
      </c>
      <c r="E84" s="10" t="str">
        <f t="shared" si="6"/>
        <v>Visitation, Dokumentation</v>
      </c>
      <c r="R84" s="207" t="s">
        <v>48</v>
      </c>
      <c r="S84" s="332" t="s">
        <v>515</v>
      </c>
      <c r="T84" s="383" t="str">
        <f t="shared" si="7"/>
        <v>Die Einzelmonitore sind in einer oder mehreren Zentralen integriert.</v>
      </c>
      <c r="U84" s="208" t="s">
        <v>47</v>
      </c>
      <c r="V84" s="333" t="s">
        <v>608</v>
      </c>
      <c r="W84" s="383" t="str">
        <f t="shared" si="8"/>
        <v>Visitation, Dokumentation</v>
      </c>
    </row>
    <row r="85" spans="1:23" ht="28">
      <c r="A85" s="98"/>
      <c r="B85" s="65" t="s">
        <v>335</v>
      </c>
      <c r="C85" s="114" t="s">
        <v>208</v>
      </c>
      <c r="D85" s="5" t="str">
        <f t="shared" si="9"/>
        <v>Es besteht ein Data-Backup- und ein Alarmaufzeichnungssystem der Monitordaten.</v>
      </c>
      <c r="E85" s="10" t="str">
        <f t="shared" si="6"/>
        <v>Visitation, Dokumentation</v>
      </c>
      <c r="R85" s="207" t="s">
        <v>49</v>
      </c>
      <c r="S85" s="332" t="s">
        <v>516</v>
      </c>
      <c r="T85" s="383" t="str">
        <f t="shared" si="7"/>
        <v>Es besteht ein Data-Backup- und ein Alarmaufzeichnungssystem der Monitordaten.</v>
      </c>
      <c r="U85" s="208" t="s">
        <v>47</v>
      </c>
      <c r="V85" s="333" t="s">
        <v>608</v>
      </c>
      <c r="W85" s="383" t="str">
        <f t="shared" si="8"/>
        <v>Visitation, Dokumentation</v>
      </c>
    </row>
    <row r="86" spans="1:23" ht="28">
      <c r="A86" s="138">
        <v>1</v>
      </c>
      <c r="B86" s="77"/>
      <c r="C86" s="114" t="s">
        <v>209</v>
      </c>
      <c r="D86" s="5" t="str">
        <f t="shared" si="9"/>
        <v xml:space="preserve">Das Personal muss sicherstellen, dass jederzeit Sichtkontakt zu den Patienten besteht. </v>
      </c>
      <c r="E86" s="10" t="str">
        <f t="shared" si="6"/>
        <v>Visitation</v>
      </c>
      <c r="R86" s="207" t="s">
        <v>50</v>
      </c>
      <c r="S86" s="332" t="s">
        <v>517</v>
      </c>
      <c r="T86" s="383" t="str">
        <f t="shared" si="7"/>
        <v xml:space="preserve">Das Personal muss sicherstellen, dass jederzeit Sichtkontakt zu den Patienten besteht. </v>
      </c>
      <c r="U86" s="208" t="s">
        <v>3</v>
      </c>
      <c r="V86" s="333" t="s">
        <v>480</v>
      </c>
      <c r="W86" s="383" t="str">
        <f t="shared" si="8"/>
        <v>Visitation</v>
      </c>
    </row>
    <row r="87" spans="1:23" ht="44">
      <c r="A87" s="98"/>
      <c r="B87" s="65" t="s">
        <v>335</v>
      </c>
      <c r="C87" s="114" t="s">
        <v>210</v>
      </c>
      <c r="D87" s="5" t="str">
        <f t="shared" si="9"/>
        <v>Ein Dokument regelt die Anwesenheitspflicht bei den nicht einsehbaren Patienten, oder es ist eine Videoüberwachung installiert mit schriftlichen Verantwortungsregeln für die Überwachung des Bildschirms.</v>
      </c>
      <c r="E87" s="10" t="str">
        <f t="shared" si="6"/>
        <v>Visitation, Dokumentation</v>
      </c>
      <c r="R87" s="207" t="s">
        <v>51</v>
      </c>
      <c r="S87" s="332" t="s">
        <v>518</v>
      </c>
      <c r="T87" s="383" t="str">
        <f t="shared" si="7"/>
        <v>Ein Dokument regelt die Anwesenheitspflicht bei den nicht einsehbaren Patienten, oder es ist eine Videoüberwachung installiert mit schriftlichen Verantwortungsregeln für die Überwachung des Bildschirms.</v>
      </c>
      <c r="U87" s="208" t="s">
        <v>47</v>
      </c>
      <c r="V87" s="333" t="s">
        <v>608</v>
      </c>
      <c r="W87" s="383" t="str">
        <f t="shared" si="8"/>
        <v>Visitation, Dokumentation</v>
      </c>
    </row>
    <row r="88" spans="1:23" ht="28">
      <c r="A88" s="79"/>
      <c r="B88" s="68"/>
      <c r="C88" s="90" t="s">
        <v>66</v>
      </c>
      <c r="D88" s="11" t="str">
        <f t="shared" ref="D88:D150" si="10">T88</f>
        <v>Einrichtungen und Nebenräume (Grösse und Umfang abhängig von der Grösse der Station)</v>
      </c>
      <c r="E88" s="32" t="str">
        <f t="shared" si="6"/>
        <v/>
      </c>
      <c r="R88" s="213" t="s">
        <v>52</v>
      </c>
      <c r="S88" s="338" t="s">
        <v>519</v>
      </c>
      <c r="T88" s="383" t="str">
        <f t="shared" si="7"/>
        <v>Einrichtungen und Nebenräume (Grösse und Umfang abhängig von der Grösse der Station)</v>
      </c>
      <c r="U88" s="226"/>
      <c r="V88" s="351"/>
      <c r="W88" s="383" t="str">
        <f t="shared" si="8"/>
        <v/>
      </c>
    </row>
    <row r="89" spans="1:23" ht="14">
      <c r="A89" s="138">
        <v>1</v>
      </c>
      <c r="B89" s="66"/>
      <c r="C89" s="114" t="s">
        <v>211</v>
      </c>
      <c r="D89" s="5" t="str">
        <f t="shared" si="10"/>
        <v>Medikamentenaufbewahrungs- und Lagersysteme</v>
      </c>
      <c r="E89" s="6" t="str">
        <f t="shared" si="6"/>
        <v>Pläne, Dokumentation, Visitation</v>
      </c>
      <c r="R89" s="207" t="s">
        <v>329</v>
      </c>
      <c r="S89" s="332" t="s">
        <v>520</v>
      </c>
      <c r="T89" s="383" t="str">
        <f t="shared" si="7"/>
        <v>Medikamentenaufbewahrungs- und Lagersysteme</v>
      </c>
      <c r="U89" s="208" t="s">
        <v>53</v>
      </c>
      <c r="V89" s="333" t="s">
        <v>609</v>
      </c>
      <c r="W89" s="383" t="str">
        <f t="shared" si="8"/>
        <v>Pläne, Dokumentation, Visitation</v>
      </c>
    </row>
    <row r="90" spans="1:23" ht="14">
      <c r="A90" s="138">
        <v>1</v>
      </c>
      <c r="B90" s="66"/>
      <c r="C90" s="114" t="s">
        <v>212</v>
      </c>
      <c r="D90" s="5" t="str">
        <f t="shared" si="10"/>
        <v>Kühlschränke für Medikamente und Blutprodukte</v>
      </c>
      <c r="E90" s="6" t="str">
        <f t="shared" si="6"/>
        <v>Pläne, Dokumentation, Visitation</v>
      </c>
      <c r="R90" s="207" t="s">
        <v>328</v>
      </c>
      <c r="S90" s="332" t="s">
        <v>521</v>
      </c>
      <c r="T90" s="383" t="str">
        <f t="shared" si="7"/>
        <v>Kühlschränke für Medikamente und Blutprodukte</v>
      </c>
      <c r="U90" s="208" t="s">
        <v>53</v>
      </c>
      <c r="V90" s="333" t="s">
        <v>609</v>
      </c>
      <c r="W90" s="383" t="str">
        <f t="shared" si="8"/>
        <v>Pläne, Dokumentation, Visitation</v>
      </c>
    </row>
    <row r="91" spans="1:23" ht="14">
      <c r="A91" s="138">
        <v>1</v>
      </c>
      <c r="B91" s="66"/>
      <c r="C91" s="114" t="s">
        <v>213</v>
      </c>
      <c r="D91" s="5" t="str">
        <f t="shared" si="10"/>
        <v>Infusionslager</v>
      </c>
      <c r="E91" s="6" t="str">
        <f t="shared" si="6"/>
        <v>Pläne, Dokumentation, Visitation</v>
      </c>
      <c r="R91" s="207" t="s">
        <v>54</v>
      </c>
      <c r="S91" s="332" t="s">
        <v>522</v>
      </c>
      <c r="T91" s="383" t="str">
        <f t="shared" si="7"/>
        <v>Infusionslager</v>
      </c>
      <c r="U91" s="208" t="s">
        <v>53</v>
      </c>
      <c r="V91" s="333" t="s">
        <v>609</v>
      </c>
      <c r="W91" s="383" t="str">
        <f t="shared" si="8"/>
        <v>Pläne, Dokumentation, Visitation</v>
      </c>
    </row>
    <row r="92" spans="1:23" ht="28">
      <c r="A92" s="138">
        <v>1</v>
      </c>
      <c r="B92" s="66"/>
      <c r="C92" s="114" t="s">
        <v>214</v>
      </c>
      <c r="D92" s="5" t="str">
        <f t="shared" si="10"/>
        <v>Vorbereitungseinrichtungen und -plätze für Medikamente, Infusionen und Perfusoren</v>
      </c>
      <c r="E92" s="6" t="str">
        <f t="shared" si="6"/>
        <v>Pläne, Dokumentation, Visitation</v>
      </c>
      <c r="R92" s="207" t="s">
        <v>327</v>
      </c>
      <c r="S92" s="332" t="s">
        <v>523</v>
      </c>
      <c r="T92" s="383" t="str">
        <f t="shared" si="7"/>
        <v>Vorbereitungseinrichtungen und -plätze für Medikamente, Infusionen und Perfusoren</v>
      </c>
      <c r="U92" s="208" t="s">
        <v>53</v>
      </c>
      <c r="V92" s="333" t="s">
        <v>609</v>
      </c>
      <c r="W92" s="383" t="str">
        <f t="shared" si="8"/>
        <v>Pläne, Dokumentation, Visitation</v>
      </c>
    </row>
    <row r="93" spans="1:23" ht="14">
      <c r="A93" s="138">
        <v>1</v>
      </c>
      <c r="B93" s="66"/>
      <c r="C93" s="114" t="s">
        <v>215</v>
      </c>
      <c r="D93" s="5" t="str">
        <f t="shared" si="10"/>
        <v>Lavabos</v>
      </c>
      <c r="E93" s="6" t="str">
        <f t="shared" si="6"/>
        <v>Pläne, Dokumentation, Visitation</v>
      </c>
      <c r="R93" s="207" t="s">
        <v>55</v>
      </c>
      <c r="S93" s="332" t="s">
        <v>55</v>
      </c>
      <c r="T93" s="383" t="str">
        <f t="shared" si="7"/>
        <v>Lavabos</v>
      </c>
      <c r="U93" s="208" t="s">
        <v>53</v>
      </c>
      <c r="V93" s="333" t="s">
        <v>609</v>
      </c>
      <c r="W93" s="383" t="str">
        <f t="shared" si="8"/>
        <v>Pläne, Dokumentation, Visitation</v>
      </c>
    </row>
    <row r="94" spans="1:23" ht="14">
      <c r="A94" s="138">
        <v>1</v>
      </c>
      <c r="B94" s="66"/>
      <c r="C94" s="114" t="s">
        <v>216</v>
      </c>
      <c r="D94" s="5" t="str">
        <f t="shared" si="10"/>
        <v>Betrachtungsmöglichkeiten für Bilddokumente</v>
      </c>
      <c r="E94" s="6" t="str">
        <f t="shared" si="6"/>
        <v>Pläne, Dokumentation, Visitation</v>
      </c>
      <c r="R94" s="207" t="s">
        <v>56</v>
      </c>
      <c r="S94" s="332" t="s">
        <v>524</v>
      </c>
      <c r="T94" s="383" t="str">
        <f t="shared" si="7"/>
        <v>Betrachtungsmöglichkeiten für Bilddokumente</v>
      </c>
      <c r="U94" s="208" t="s">
        <v>53</v>
      </c>
      <c r="V94" s="333" t="s">
        <v>609</v>
      </c>
      <c r="W94" s="383" t="str">
        <f t="shared" si="8"/>
        <v>Pläne, Dokumentation, Visitation</v>
      </c>
    </row>
    <row r="95" spans="1:23" ht="22">
      <c r="A95" s="138">
        <v>1</v>
      </c>
      <c r="B95" s="66"/>
      <c r="C95" s="114" t="s">
        <v>217</v>
      </c>
      <c r="D95" s="5" t="str">
        <f t="shared" si="10"/>
        <v>Material- und Geräteräume angepasst an die Grösse der Station</v>
      </c>
      <c r="E95" s="6" t="str">
        <f t="shared" si="6"/>
        <v>Pläne, Dokumentation, Visitation</v>
      </c>
      <c r="R95" s="207" t="s">
        <v>321</v>
      </c>
      <c r="S95" s="332" t="s">
        <v>525</v>
      </c>
      <c r="T95" s="383" t="str">
        <f t="shared" si="7"/>
        <v>Material- und Geräteräume angepasst an die Grösse der Station</v>
      </c>
      <c r="U95" s="208" t="s">
        <v>53</v>
      </c>
      <c r="V95" s="333" t="s">
        <v>609</v>
      </c>
      <c r="W95" s="383" t="str">
        <f t="shared" si="8"/>
        <v>Pläne, Dokumentation, Visitation</v>
      </c>
    </row>
    <row r="96" spans="1:23" ht="14">
      <c r="A96" s="138">
        <v>1</v>
      </c>
      <c r="B96" s="66"/>
      <c r="C96" s="114" t="s">
        <v>218</v>
      </c>
      <c r="D96" s="5" t="str">
        <f t="shared" si="10"/>
        <v>Arztbüro</v>
      </c>
      <c r="E96" s="6" t="str">
        <f t="shared" si="6"/>
        <v>Pläne, Dokumentation, Visitation</v>
      </c>
      <c r="R96" s="207" t="s">
        <v>57</v>
      </c>
      <c r="S96" s="332" t="s">
        <v>526</v>
      </c>
      <c r="T96" s="383" t="str">
        <f t="shared" si="7"/>
        <v>Arztbüro</v>
      </c>
      <c r="U96" s="208" t="s">
        <v>53</v>
      </c>
      <c r="V96" s="333" t="s">
        <v>609</v>
      </c>
      <c r="W96" s="383" t="str">
        <f t="shared" si="8"/>
        <v>Pläne, Dokumentation, Visitation</v>
      </c>
    </row>
    <row r="97" spans="1:23" ht="14">
      <c r="A97" s="138">
        <v>1</v>
      </c>
      <c r="B97" s="66"/>
      <c r="C97" s="114" t="s">
        <v>219</v>
      </c>
      <c r="D97" s="5" t="str">
        <f t="shared" si="10"/>
        <v>Pflegebüro</v>
      </c>
      <c r="E97" s="6" t="str">
        <f t="shared" si="6"/>
        <v>Pläne, Dokumentation, Visitation</v>
      </c>
      <c r="R97" s="207" t="s">
        <v>58</v>
      </c>
      <c r="S97" s="332" t="s">
        <v>527</v>
      </c>
      <c r="T97" s="383" t="str">
        <f t="shared" si="7"/>
        <v>Pflegebüro</v>
      </c>
      <c r="U97" s="208" t="s">
        <v>53</v>
      </c>
      <c r="V97" s="333" t="s">
        <v>609</v>
      </c>
      <c r="W97" s="383" t="str">
        <f t="shared" si="8"/>
        <v>Pläne, Dokumentation, Visitation</v>
      </c>
    </row>
    <row r="98" spans="1:23" ht="14">
      <c r="A98" s="138">
        <v>1</v>
      </c>
      <c r="B98" s="66"/>
      <c r="C98" s="114" t="s">
        <v>220</v>
      </c>
      <c r="D98" s="5" t="str">
        <f t="shared" si="10"/>
        <v>Toiletten</v>
      </c>
      <c r="E98" s="6" t="str">
        <f t="shared" si="6"/>
        <v>Pläne, Dokumentation, Visitation</v>
      </c>
      <c r="R98" s="207" t="s">
        <v>59</v>
      </c>
      <c r="S98" s="332" t="s">
        <v>528</v>
      </c>
      <c r="T98" s="383" t="str">
        <f t="shared" si="7"/>
        <v>Toiletten</v>
      </c>
      <c r="U98" s="208" t="s">
        <v>53</v>
      </c>
      <c r="V98" s="333" t="s">
        <v>609</v>
      </c>
      <c r="W98" s="383" t="str">
        <f t="shared" si="8"/>
        <v>Pläne, Dokumentation, Visitation</v>
      </c>
    </row>
    <row r="99" spans="1:23" ht="22">
      <c r="A99" s="138">
        <v>1</v>
      </c>
      <c r="B99" s="66"/>
      <c r="C99" s="114" t="s">
        <v>221</v>
      </c>
      <c r="D99" s="5" t="str">
        <f t="shared" si="10"/>
        <v>Ausguss/güsse: abgetrennte Räumlichkeit ohne Durchgangsverkehr</v>
      </c>
      <c r="E99" s="6" t="str">
        <f t="shared" si="6"/>
        <v>Pläne, Dokumentation, Visitation</v>
      </c>
      <c r="R99" s="207" t="s">
        <v>60</v>
      </c>
      <c r="S99" s="332" t="s">
        <v>529</v>
      </c>
      <c r="T99" s="383" t="str">
        <f t="shared" si="7"/>
        <v>Ausguss/güsse: abgetrennte Räumlichkeit ohne Durchgangsverkehr</v>
      </c>
      <c r="U99" s="208" t="s">
        <v>53</v>
      </c>
      <c r="V99" s="333" t="s">
        <v>609</v>
      </c>
      <c r="W99" s="383" t="str">
        <f t="shared" si="8"/>
        <v>Pläne, Dokumentation, Visitation</v>
      </c>
    </row>
    <row r="100" spans="1:23" ht="14">
      <c r="A100" s="138">
        <v>1</v>
      </c>
      <c r="B100" s="66"/>
      <c r="C100" s="114" t="s">
        <v>222</v>
      </c>
      <c r="D100" s="5" t="str">
        <f t="shared" si="10"/>
        <v>Besprechungsraum</v>
      </c>
      <c r="E100" s="6" t="str">
        <f t="shared" si="6"/>
        <v>Pläne, Dokumentation, Visitation</v>
      </c>
      <c r="R100" s="207" t="s">
        <v>61</v>
      </c>
      <c r="S100" s="332" t="s">
        <v>530</v>
      </c>
      <c r="T100" s="383" t="str">
        <f t="shared" si="7"/>
        <v>Besprechungsraum</v>
      </c>
      <c r="U100" s="208" t="s">
        <v>53</v>
      </c>
      <c r="V100" s="333" t="s">
        <v>609</v>
      </c>
      <c r="W100" s="383" t="str">
        <f t="shared" si="8"/>
        <v>Pläne, Dokumentation, Visitation</v>
      </c>
    </row>
    <row r="101" spans="1:23" ht="28">
      <c r="A101" s="138">
        <v>1</v>
      </c>
      <c r="B101" s="66"/>
      <c r="C101" s="114" t="s">
        <v>223</v>
      </c>
      <c r="D101" s="5" t="str">
        <f t="shared" si="10"/>
        <v>Wartezimmer /-zone beim Eingang für Besucher (Anzahl Sitzplätze = maximale Bettenzahl / 2 + 2)</v>
      </c>
      <c r="E101" s="6" t="str">
        <f t="shared" si="6"/>
        <v>Pläne, Dokumentation, Visitation</v>
      </c>
      <c r="R101" s="207" t="s">
        <v>62</v>
      </c>
      <c r="S101" s="332" t="s">
        <v>531</v>
      </c>
      <c r="T101" s="383" t="str">
        <f t="shared" si="7"/>
        <v>Wartezimmer /-zone beim Eingang für Besucher (Anzahl Sitzplätze = maximale Bettenzahl / 2 + 2)</v>
      </c>
      <c r="U101" s="208" t="s">
        <v>53</v>
      </c>
      <c r="V101" s="333" t="s">
        <v>609</v>
      </c>
      <c r="W101" s="383" t="str">
        <f t="shared" si="8"/>
        <v>Pläne, Dokumentation, Visitation</v>
      </c>
    </row>
    <row r="102" spans="1:23" ht="14">
      <c r="A102" s="138">
        <v>1</v>
      </c>
      <c r="B102" s="66"/>
      <c r="C102" s="114" t="s">
        <v>224</v>
      </c>
      <c r="D102" s="13" t="str">
        <f t="shared" si="10"/>
        <v>Aufenthaltsraum für Personal</v>
      </c>
      <c r="E102" s="6" t="str">
        <f t="shared" si="6"/>
        <v>Pläne, Dokumentation, Visitation</v>
      </c>
      <c r="R102" s="207" t="s">
        <v>63</v>
      </c>
      <c r="S102" s="332" t="s">
        <v>532</v>
      </c>
      <c r="T102" s="383" t="str">
        <f t="shared" si="7"/>
        <v>Aufenthaltsraum für Personal</v>
      </c>
      <c r="U102" s="208" t="s">
        <v>53</v>
      </c>
      <c r="V102" s="333" t="s">
        <v>609</v>
      </c>
      <c r="W102" s="383" t="str">
        <f t="shared" si="8"/>
        <v>Pläne, Dokumentation, Visitation</v>
      </c>
    </row>
    <row r="103" spans="1:23" ht="28">
      <c r="A103" s="138">
        <v>1</v>
      </c>
      <c r="B103" s="66"/>
      <c r="C103" s="114" t="s">
        <v>225</v>
      </c>
      <c r="D103" s="13" t="str">
        <f t="shared" si="10"/>
        <v>Personalgarderobe (muss nicht auf dem Areal der IS sein)</v>
      </c>
      <c r="E103" s="6" t="str">
        <f t="shared" si="6"/>
        <v>Pläne, Dokumentation, Visitation</v>
      </c>
      <c r="R103" s="207" t="s">
        <v>64</v>
      </c>
      <c r="S103" s="332" t="s">
        <v>533</v>
      </c>
      <c r="T103" s="383" t="str">
        <f t="shared" si="7"/>
        <v>Personalgarderobe (muss nicht auf dem Areal der IS sein)</v>
      </c>
      <c r="U103" s="208" t="s">
        <v>53</v>
      </c>
      <c r="V103" s="333" t="s">
        <v>609</v>
      </c>
      <c r="W103" s="383" t="str">
        <f t="shared" si="8"/>
        <v>Pläne, Dokumentation, Visitation</v>
      </c>
    </row>
    <row r="104" spans="1:23" ht="42">
      <c r="A104" s="78"/>
      <c r="B104" s="65" t="s">
        <v>335</v>
      </c>
      <c r="C104" s="176" t="s">
        <v>226</v>
      </c>
      <c r="D104" s="179" t="str">
        <f t="shared" si="10"/>
        <v>Abschliessbare Fächer für jeden im Einsatz stehenden Mitarbeiter (kann in Garderobe integriert sein, wenn die Garderobe unmittelbar bei oder in der IS lokalisiert ist)</v>
      </c>
      <c r="E104" s="31" t="str">
        <f t="shared" si="6"/>
        <v>Pläne, Dokumentation, Visitation</v>
      </c>
      <c r="R104" s="200" t="s">
        <v>326</v>
      </c>
      <c r="S104" s="313" t="s">
        <v>534</v>
      </c>
      <c r="T104" s="383" t="str">
        <f t="shared" si="7"/>
        <v>Abschliessbare Fächer für jeden im Einsatz stehenden Mitarbeiter (kann in Garderobe integriert sein, wenn die Garderobe unmittelbar bei oder in der IS lokalisiert ist)</v>
      </c>
      <c r="U104" s="225" t="s">
        <v>53</v>
      </c>
      <c r="V104" s="350" t="s">
        <v>609</v>
      </c>
      <c r="W104" s="383" t="str">
        <f t="shared" si="8"/>
        <v>Pläne, Dokumentation, Visitation</v>
      </c>
    </row>
    <row r="105" spans="1:23" s="25" customFormat="1" ht="17">
      <c r="A105" s="3"/>
      <c r="B105" s="71"/>
      <c r="C105" s="86">
        <v>3</v>
      </c>
      <c r="D105" s="3" t="str">
        <f t="shared" si="10"/>
        <v>Einrichtung des Patientenplatzes</v>
      </c>
      <c r="E105" s="34" t="str">
        <f t="shared" si="6"/>
        <v/>
      </c>
      <c r="R105" s="205" t="s">
        <v>67</v>
      </c>
      <c r="S105" s="330" t="s">
        <v>535</v>
      </c>
      <c r="T105" s="382" t="str">
        <f t="shared" si="7"/>
        <v>Einrichtung des Patientenplatzes</v>
      </c>
      <c r="U105" s="227"/>
      <c r="V105" s="352"/>
      <c r="W105" s="382" t="str">
        <f t="shared" si="8"/>
        <v/>
      </c>
    </row>
    <row r="106" spans="1:23" ht="17">
      <c r="A106" s="14"/>
      <c r="B106" s="70"/>
      <c r="C106" s="87">
        <v>3.1</v>
      </c>
      <c r="D106" s="9" t="str">
        <f t="shared" si="10"/>
        <v>Patientenbett</v>
      </c>
      <c r="E106" s="32" t="str">
        <f t="shared" ref="E106:E169" si="11">W106</f>
        <v/>
      </c>
      <c r="R106" s="211" t="s">
        <v>68</v>
      </c>
      <c r="S106" s="336" t="s">
        <v>536</v>
      </c>
      <c r="T106" s="383" t="str">
        <f t="shared" si="7"/>
        <v>Patientenbett</v>
      </c>
      <c r="U106" s="226"/>
      <c r="V106" s="351"/>
      <c r="W106" s="383" t="str">
        <f t="shared" si="8"/>
        <v/>
      </c>
    </row>
    <row r="107" spans="1:23" ht="42">
      <c r="A107" s="98"/>
      <c r="B107" s="65" t="s">
        <v>335</v>
      </c>
      <c r="C107" s="114" t="s">
        <v>227</v>
      </c>
      <c r="D107" s="115" t="str">
        <f t="shared" si="10"/>
        <v>Das Patientenbett erlaubt Veränderung der Lage des Patienten im Raum in drei Abschnitten: Kopfteil, Mittelteil und Fussende, sowie alle drei Abschnitte gemeinsam.</v>
      </c>
      <c r="E107" s="6" t="str">
        <f t="shared" si="11"/>
        <v>Visitation</v>
      </c>
      <c r="R107" s="207" t="s">
        <v>69</v>
      </c>
      <c r="S107" s="332" t="s">
        <v>537</v>
      </c>
      <c r="T107" s="383" t="str">
        <f t="shared" si="7"/>
        <v>Das Patientenbett erlaubt Veränderung der Lage des Patienten im Raum in drei Abschnitten: Kopfteil, Mittelteil und Fussende, sowie alle drei Abschnitte gemeinsam.</v>
      </c>
      <c r="U107" s="208" t="s">
        <v>3</v>
      </c>
      <c r="V107" s="333" t="s">
        <v>480</v>
      </c>
      <c r="W107" s="383" t="str">
        <f t="shared" si="8"/>
        <v>Visitation</v>
      </c>
    </row>
    <row r="108" spans="1:23" ht="16">
      <c r="A108" s="138">
        <v>1</v>
      </c>
      <c r="B108" s="77"/>
      <c r="C108" s="114" t="s">
        <v>228</v>
      </c>
      <c r="D108" s="115" t="str">
        <f t="shared" si="10"/>
        <v>Das Bett muss eine externe Herzmassage erlauben.</v>
      </c>
      <c r="E108" s="6" t="str">
        <f t="shared" si="11"/>
        <v>Visitation</v>
      </c>
      <c r="R108" s="207" t="s">
        <v>70</v>
      </c>
      <c r="S108" s="332" t="s">
        <v>538</v>
      </c>
      <c r="T108" s="383" t="str">
        <f t="shared" si="7"/>
        <v>Das Bett muss eine externe Herzmassage erlauben.</v>
      </c>
      <c r="U108" s="208" t="s">
        <v>3</v>
      </c>
      <c r="V108" s="333" t="s">
        <v>480</v>
      </c>
      <c r="W108" s="383" t="str">
        <f t="shared" si="8"/>
        <v>Visitation</v>
      </c>
    </row>
    <row r="109" spans="1:23" ht="56">
      <c r="A109" s="98"/>
      <c r="B109" s="65" t="s">
        <v>335</v>
      </c>
      <c r="C109" s="114" t="s">
        <v>229</v>
      </c>
      <c r="D109" s="115" t="str">
        <f t="shared" si="10"/>
        <v>Die Ausrüstung der Betten ist so veränderbar, dass alle Lagerungen (Rücken-, Seiten- und Bauchlagerung) durchgeführt werden können. Die Unterlagen und Matratzen müssen so gewählt werden können, dass eine Dekubitusprophylaxe möglich ist.</v>
      </c>
      <c r="E109" s="6" t="str">
        <f t="shared" si="11"/>
        <v>Visitation</v>
      </c>
      <c r="R109" s="207" t="s">
        <v>705</v>
      </c>
      <c r="S109" s="332" t="s">
        <v>539</v>
      </c>
      <c r="T109" s="383" t="str">
        <f t="shared" si="7"/>
        <v>Die Ausrüstung der Betten ist so veränderbar, dass alle Lagerungen (Rücken-, Seiten- und Bauchlagerung) durchgeführt werden können. Die Unterlagen und Matratzen müssen so gewählt werden können, dass eine Dekubitusprophylaxe möglich ist.</v>
      </c>
      <c r="U109" s="208" t="s">
        <v>3</v>
      </c>
      <c r="V109" s="333" t="s">
        <v>480</v>
      </c>
      <c r="W109" s="383" t="str">
        <f t="shared" si="8"/>
        <v>Visitation</v>
      </c>
    </row>
    <row r="110" spans="1:23" ht="17">
      <c r="A110" s="14"/>
      <c r="B110" s="77"/>
      <c r="C110" s="87">
        <v>3.2</v>
      </c>
      <c r="D110" s="9" t="str">
        <f t="shared" si="10"/>
        <v>Anordnung des Bettes im Raum und Abtrennung</v>
      </c>
      <c r="E110" s="32" t="str">
        <f t="shared" si="11"/>
        <v/>
      </c>
      <c r="R110" s="211" t="s">
        <v>71</v>
      </c>
      <c r="S110" s="336" t="s">
        <v>540</v>
      </c>
      <c r="T110" s="383" t="str">
        <f t="shared" si="7"/>
        <v>Anordnung des Bettes im Raum und Abtrennung</v>
      </c>
      <c r="U110" s="226"/>
      <c r="V110" s="351"/>
      <c r="W110" s="383" t="str">
        <f t="shared" si="8"/>
        <v/>
      </c>
    </row>
    <row r="111" spans="1:23" ht="42">
      <c r="A111" s="98"/>
      <c r="B111" s="65" t="s">
        <v>335</v>
      </c>
      <c r="C111" s="114" t="s">
        <v>230</v>
      </c>
      <c r="D111" s="5" t="str">
        <f t="shared" si="10"/>
        <v>Die Platzierung und die Orientierung des Bettes soll dem Patienten erlauben, das Pflegepersonal, das Aussenfenster, die Uhr sowie andere räumliche Orientierungspunkte zu sehen.</v>
      </c>
      <c r="E111" s="6" t="str">
        <f t="shared" si="11"/>
        <v>Visitation</v>
      </c>
      <c r="R111" s="207" t="s">
        <v>706</v>
      </c>
      <c r="S111" s="332" t="s">
        <v>541</v>
      </c>
      <c r="T111" s="383" t="str">
        <f t="shared" si="7"/>
        <v>Die Platzierung und die Orientierung des Bettes soll dem Patienten erlauben, das Pflegepersonal, das Aussenfenster, die Uhr sowie andere räumliche Orientierungspunkte zu sehen.</v>
      </c>
      <c r="U111" s="208" t="s">
        <v>3</v>
      </c>
      <c r="V111" s="333" t="s">
        <v>480</v>
      </c>
      <c r="W111" s="383" t="str">
        <f t="shared" si="8"/>
        <v>Visitation</v>
      </c>
    </row>
    <row r="112" spans="1:23" ht="14">
      <c r="A112" s="98"/>
      <c r="B112" s="65" t="s">
        <v>335</v>
      </c>
      <c r="C112" s="114" t="s">
        <v>231</v>
      </c>
      <c r="D112" s="5" t="str">
        <f t="shared" si="10"/>
        <v>Das Bett ist im Bedarfsfall von allen Seiten her zugänglich.</v>
      </c>
      <c r="E112" s="6" t="str">
        <f t="shared" si="11"/>
        <v>Visitation</v>
      </c>
      <c r="R112" s="207" t="s">
        <v>72</v>
      </c>
      <c r="S112" s="332" t="s">
        <v>542</v>
      </c>
      <c r="T112" s="383" t="str">
        <f t="shared" si="7"/>
        <v>Das Bett ist im Bedarfsfall von allen Seiten her zugänglich.</v>
      </c>
      <c r="U112" s="208" t="s">
        <v>3</v>
      </c>
      <c r="V112" s="333" t="s">
        <v>480</v>
      </c>
      <c r="W112" s="383" t="str">
        <f t="shared" si="8"/>
        <v>Visitation</v>
      </c>
    </row>
    <row r="113" spans="1:23" ht="33">
      <c r="A113" s="98"/>
      <c r="B113" s="65" t="s">
        <v>335</v>
      </c>
      <c r="C113" s="114" t="s">
        <v>232</v>
      </c>
      <c r="D113" s="115" t="str">
        <f t="shared" si="10"/>
        <v>In Mehrbettzimmern sind flexible Trennvorrichtungen, die leicht und schnell zu öffnen sind, installiert (fixe Installation oder variabel).</v>
      </c>
      <c r="E113" s="6" t="str">
        <f t="shared" si="11"/>
        <v>Visitation</v>
      </c>
      <c r="R113" s="207" t="s">
        <v>73</v>
      </c>
      <c r="S113" s="332" t="s">
        <v>543</v>
      </c>
      <c r="T113" s="383" t="str">
        <f t="shared" si="7"/>
        <v>In Mehrbettzimmern sind flexible Trennvorrichtungen, die leicht und schnell zu öffnen sind, installiert (fixe Installation oder variabel).</v>
      </c>
      <c r="U113" s="208" t="s">
        <v>3</v>
      </c>
      <c r="V113" s="333" t="s">
        <v>480</v>
      </c>
      <c r="W113" s="383" t="str">
        <f t="shared" si="8"/>
        <v>Visitation</v>
      </c>
    </row>
    <row r="114" spans="1:23" ht="17">
      <c r="A114" s="14"/>
      <c r="B114" s="77"/>
      <c r="C114" s="87">
        <v>3.3</v>
      </c>
      <c r="D114" s="9" t="str">
        <f t="shared" si="10"/>
        <v>Minimalinstallationen am Bettplatz</v>
      </c>
      <c r="E114" s="32" t="str">
        <f t="shared" si="11"/>
        <v/>
      </c>
      <c r="R114" s="211" t="s">
        <v>74</v>
      </c>
      <c r="S114" s="336" t="s">
        <v>544</v>
      </c>
      <c r="T114" s="383" t="str">
        <f t="shared" si="7"/>
        <v>Minimalinstallationen am Bettplatz</v>
      </c>
      <c r="U114" s="226"/>
      <c r="V114" s="351"/>
      <c r="W114" s="383" t="str">
        <f t="shared" si="8"/>
        <v/>
      </c>
    </row>
    <row r="115" spans="1:23" ht="33">
      <c r="A115" s="98"/>
      <c r="B115" s="65" t="s">
        <v>335</v>
      </c>
      <c r="C115" s="114" t="s">
        <v>233</v>
      </c>
      <c r="D115" s="115" t="str">
        <f t="shared" si="10"/>
        <v>Die folgenden Installationen pro Bettenplatz sind leicht erreichbar und auf mindestens 120 cm Höhe installiert, verteilt auf beide Seiten des Bettes.</v>
      </c>
      <c r="E115" s="6" t="str">
        <f t="shared" si="11"/>
        <v>Visitation</v>
      </c>
      <c r="R115" s="207" t="s">
        <v>707</v>
      </c>
      <c r="S115" s="332" t="s">
        <v>545</v>
      </c>
      <c r="T115" s="383" t="str">
        <f t="shared" si="7"/>
        <v>Die folgenden Installationen pro Bettenplatz sind leicht erreichbar und auf mindestens 120 cm Höhe installiert, verteilt auf beide Seiten des Bettes.</v>
      </c>
      <c r="U115" s="208" t="s">
        <v>3</v>
      </c>
      <c r="V115" s="333" t="s">
        <v>480</v>
      </c>
      <c r="W115" s="383" t="str">
        <f t="shared" si="8"/>
        <v>Visitation</v>
      </c>
    </row>
    <row r="116" spans="1:23" ht="16">
      <c r="A116" s="138">
        <v>1</v>
      </c>
      <c r="B116" s="77"/>
      <c r="C116" s="114" t="s">
        <v>234</v>
      </c>
      <c r="D116" s="115" t="str">
        <f t="shared" si="10"/>
        <v>12 Steckdosen</v>
      </c>
      <c r="E116" s="6" t="str">
        <f t="shared" si="11"/>
        <v>Visitation</v>
      </c>
      <c r="R116" s="207" t="s">
        <v>75</v>
      </c>
      <c r="S116" s="332" t="s">
        <v>546</v>
      </c>
      <c r="T116" s="383" t="str">
        <f t="shared" si="7"/>
        <v>12 Steckdosen</v>
      </c>
      <c r="U116" s="208" t="s">
        <v>3</v>
      </c>
      <c r="V116" s="333" t="s">
        <v>480</v>
      </c>
      <c r="W116" s="383" t="str">
        <f t="shared" si="8"/>
        <v>Visitation</v>
      </c>
    </row>
    <row r="117" spans="1:23" ht="16">
      <c r="A117" s="138">
        <v>1</v>
      </c>
      <c r="B117" s="77"/>
      <c r="C117" s="114" t="s">
        <v>235</v>
      </c>
      <c r="D117" s="115" t="str">
        <f t="shared" si="10"/>
        <v>2 Sauerstoffanschlüsse</v>
      </c>
      <c r="E117" s="6" t="str">
        <f t="shared" si="11"/>
        <v>Visitation</v>
      </c>
      <c r="R117" s="207" t="s">
        <v>76</v>
      </c>
      <c r="S117" s="332" t="s">
        <v>547</v>
      </c>
      <c r="T117" s="383" t="str">
        <f t="shared" si="7"/>
        <v>2 Sauerstoffanschlüsse</v>
      </c>
      <c r="U117" s="208" t="s">
        <v>3</v>
      </c>
      <c r="V117" s="333" t="s">
        <v>480</v>
      </c>
      <c r="W117" s="383" t="str">
        <f t="shared" si="8"/>
        <v>Visitation</v>
      </c>
    </row>
    <row r="118" spans="1:23" ht="16">
      <c r="A118" s="138">
        <v>1</v>
      </c>
      <c r="B118" s="77"/>
      <c r="C118" s="114" t="s">
        <v>236</v>
      </c>
      <c r="D118" s="115" t="str">
        <f t="shared" si="10"/>
        <v>1 Druckluftanschluss</v>
      </c>
      <c r="E118" s="6" t="str">
        <f t="shared" si="11"/>
        <v>Visitation</v>
      </c>
      <c r="R118" s="207" t="s">
        <v>77</v>
      </c>
      <c r="S118" s="332" t="s">
        <v>548</v>
      </c>
      <c r="T118" s="383" t="str">
        <f t="shared" si="7"/>
        <v>1 Druckluftanschluss</v>
      </c>
      <c r="U118" s="208" t="s">
        <v>3</v>
      </c>
      <c r="V118" s="333" t="s">
        <v>480</v>
      </c>
      <c r="W118" s="383" t="str">
        <f t="shared" si="8"/>
        <v>Visitation</v>
      </c>
    </row>
    <row r="119" spans="1:23" ht="16">
      <c r="A119" s="138">
        <v>1</v>
      </c>
      <c r="B119" s="77"/>
      <c r="C119" s="114" t="s">
        <v>237</v>
      </c>
      <c r="D119" s="115" t="str">
        <f t="shared" si="10"/>
        <v>2 Vakuumanschlüsse</v>
      </c>
      <c r="E119" s="6" t="str">
        <f t="shared" si="11"/>
        <v>Visitation</v>
      </c>
      <c r="R119" s="207" t="s">
        <v>78</v>
      </c>
      <c r="S119" s="332" t="s">
        <v>549</v>
      </c>
      <c r="T119" s="383" t="str">
        <f t="shared" si="7"/>
        <v>2 Vakuumanschlüsse</v>
      </c>
      <c r="U119" s="208" t="s">
        <v>3</v>
      </c>
      <c r="V119" s="333" t="s">
        <v>480</v>
      </c>
      <c r="W119" s="383" t="str">
        <f t="shared" si="8"/>
        <v>Visitation</v>
      </c>
    </row>
    <row r="120" spans="1:23" ht="28">
      <c r="A120" s="98"/>
      <c r="B120" s="65" t="s">
        <v>335</v>
      </c>
      <c r="C120" s="114" t="s">
        <v>238</v>
      </c>
      <c r="D120" s="115" t="str">
        <f t="shared" si="10"/>
        <v>Variable Beleuchtungsstärken pro Bettenplatz von Nachtbeleuchtung bis sehr hell (1000 Lux)</v>
      </c>
      <c r="E120" s="6" t="str">
        <f t="shared" si="11"/>
        <v>Visitation</v>
      </c>
      <c r="R120" s="207" t="s">
        <v>325</v>
      </c>
      <c r="S120" s="332" t="s">
        <v>550</v>
      </c>
      <c r="T120" s="383" t="str">
        <f t="shared" si="7"/>
        <v>Variable Beleuchtungsstärken pro Bettenplatz von Nachtbeleuchtung bis sehr hell (1000 Lux)</v>
      </c>
      <c r="U120" s="208" t="s">
        <v>3</v>
      </c>
      <c r="V120" s="333" t="s">
        <v>480</v>
      </c>
      <c r="W120" s="383" t="str">
        <f t="shared" si="8"/>
        <v>Visitation</v>
      </c>
    </row>
    <row r="121" spans="1:23" ht="16">
      <c r="A121" s="138">
        <v>1</v>
      </c>
      <c r="B121" s="77"/>
      <c r="C121" s="114" t="s">
        <v>239</v>
      </c>
      <c r="D121" s="7" t="str">
        <f t="shared" si="10"/>
        <v>Präsenzlicht mit Alarm</v>
      </c>
      <c r="E121" s="6" t="str">
        <f t="shared" si="11"/>
        <v>Visitation</v>
      </c>
      <c r="R121" s="207" t="s">
        <v>79</v>
      </c>
      <c r="S121" s="332" t="s">
        <v>551</v>
      </c>
      <c r="T121" s="383" t="str">
        <f t="shared" si="7"/>
        <v>Präsenzlicht mit Alarm</v>
      </c>
      <c r="U121" s="208" t="s">
        <v>3</v>
      </c>
      <c r="V121" s="333" t="s">
        <v>480</v>
      </c>
      <c r="W121" s="383" t="str">
        <f t="shared" si="8"/>
        <v>Visitation</v>
      </c>
    </row>
    <row r="122" spans="1:23" ht="14">
      <c r="A122" s="98"/>
      <c r="B122" s="65" t="s">
        <v>335</v>
      </c>
      <c r="C122" s="114" t="s">
        <v>240</v>
      </c>
      <c r="D122" s="115" t="str">
        <f t="shared" si="10"/>
        <v>Telefonanschluss</v>
      </c>
      <c r="E122" s="6" t="str">
        <f t="shared" si="11"/>
        <v>Visitation</v>
      </c>
      <c r="R122" s="207" t="s">
        <v>80</v>
      </c>
      <c r="S122" s="332" t="s">
        <v>552</v>
      </c>
      <c r="T122" s="383" t="str">
        <f t="shared" si="7"/>
        <v>Telefonanschluss</v>
      </c>
      <c r="U122" s="208" t="s">
        <v>3</v>
      </c>
      <c r="V122" s="333" t="s">
        <v>480</v>
      </c>
      <c r="W122" s="383" t="str">
        <f t="shared" si="8"/>
        <v>Visitation</v>
      </c>
    </row>
    <row r="123" spans="1:23" ht="15">
      <c r="A123" s="100"/>
      <c r="B123" s="65" t="s">
        <v>335</v>
      </c>
      <c r="C123" s="114" t="s">
        <v>241</v>
      </c>
      <c r="D123" s="6" t="str">
        <f t="shared" si="10"/>
        <v>Radio- und Fernsehanschluss mit Kopfhörer</v>
      </c>
      <c r="E123" s="6" t="str">
        <f t="shared" si="11"/>
        <v>Visitation</v>
      </c>
      <c r="R123" s="208" t="s">
        <v>81</v>
      </c>
      <c r="S123" s="333" t="s">
        <v>553</v>
      </c>
      <c r="T123" s="383" t="str">
        <f t="shared" si="7"/>
        <v>Radio- und Fernsehanschluss mit Kopfhörer</v>
      </c>
      <c r="U123" s="208" t="s">
        <v>3</v>
      </c>
      <c r="V123" s="333" t="s">
        <v>480</v>
      </c>
      <c r="W123" s="383" t="str">
        <f t="shared" si="8"/>
        <v>Visitation</v>
      </c>
    </row>
    <row r="124" spans="1:23" ht="17">
      <c r="A124" s="33"/>
      <c r="B124" s="68"/>
      <c r="C124" s="87">
        <v>3.4</v>
      </c>
      <c r="D124" s="9" t="str">
        <f t="shared" si="10"/>
        <v>Einrichtungen am Bettplatz</v>
      </c>
      <c r="E124" s="32" t="str">
        <f t="shared" si="11"/>
        <v/>
      </c>
      <c r="R124" s="211" t="s">
        <v>82</v>
      </c>
      <c r="S124" s="336" t="s">
        <v>554</v>
      </c>
      <c r="T124" s="383" t="str">
        <f t="shared" si="7"/>
        <v>Einrichtungen am Bettplatz</v>
      </c>
      <c r="U124" s="226"/>
      <c r="V124" s="351"/>
      <c r="W124" s="383" t="str">
        <f t="shared" si="8"/>
        <v/>
      </c>
    </row>
    <row r="125" spans="1:23" ht="70">
      <c r="A125" s="138">
        <v>1</v>
      </c>
      <c r="B125" s="77"/>
      <c r="C125" s="114" t="s">
        <v>242</v>
      </c>
      <c r="D125" s="115" t="str">
        <f t="shared" si="10"/>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E125" s="6" t="str">
        <f t="shared" si="11"/>
        <v>Visitation</v>
      </c>
      <c r="R125" s="215" t="s">
        <v>708</v>
      </c>
      <c r="S125" s="332" t="s">
        <v>555</v>
      </c>
      <c r="T125" s="383" t="str">
        <f t="shared" si="7"/>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U125" s="208" t="s">
        <v>3</v>
      </c>
      <c r="V125" s="333" t="s">
        <v>480</v>
      </c>
      <c r="W125" s="383" t="str">
        <f t="shared" si="8"/>
        <v>Visitation</v>
      </c>
    </row>
    <row r="126" spans="1:23" ht="22">
      <c r="A126" s="98"/>
      <c r="B126" s="65" t="s">
        <v>335</v>
      </c>
      <c r="C126" s="114" t="s">
        <v>243</v>
      </c>
      <c r="D126" s="115" t="str">
        <f t="shared" si="10"/>
        <v>Ein Nachttischchen für die persönlichen Gegenstände des Patienten.</v>
      </c>
      <c r="E126" s="6" t="str">
        <f t="shared" si="11"/>
        <v>Visitation</v>
      </c>
      <c r="R126" s="215" t="s">
        <v>709</v>
      </c>
      <c r="S126" s="332" t="s">
        <v>556</v>
      </c>
      <c r="T126" s="383" t="str">
        <f t="shared" si="7"/>
        <v>Ein Nachttischchen für die persönlichen Gegenstände des Patienten.</v>
      </c>
      <c r="U126" s="208" t="s">
        <v>3</v>
      </c>
      <c r="V126" s="333" t="s">
        <v>480</v>
      </c>
      <c r="W126" s="383" t="str">
        <f t="shared" si="8"/>
        <v>Visitation</v>
      </c>
    </row>
    <row r="127" spans="1:23" ht="56">
      <c r="A127" s="98"/>
      <c r="B127" s="65" t="s">
        <v>335</v>
      </c>
      <c r="C127" s="114" t="s">
        <v>244</v>
      </c>
      <c r="D127" s="115" t="str">
        <f t="shared" si="10"/>
        <v>Wandschienen oder Äquivalente auf einer Höhe von zirka 40 und 120 cm zur Fixierung von Pflegeutensilien, Therapie- und Überwachungsgeräten. Deckenschienen und/oder Konsolen zur Aufhängung von Infusionen, Per-fusoren, Infusomaten und anderen Apparaturen.</v>
      </c>
      <c r="E127" s="6" t="str">
        <f t="shared" si="11"/>
        <v>Visitation</v>
      </c>
      <c r="R127" s="215" t="s">
        <v>710</v>
      </c>
      <c r="S127" s="332" t="s">
        <v>557</v>
      </c>
      <c r="T127" s="383" t="str">
        <f t="shared" si="7"/>
        <v>Wandschienen oder Äquivalente auf einer Höhe von zirka 40 und 120 cm zur Fixierung von Pflegeutensilien, Therapie- und Überwachungsgeräten. Deckenschienen und/oder Konsolen zur Aufhängung von Infusionen, Per-fusoren, Infusomaten und anderen Apparaturen.</v>
      </c>
      <c r="U127" s="208" t="s">
        <v>3</v>
      </c>
      <c r="V127" s="333" t="s">
        <v>480</v>
      </c>
      <c r="W127" s="383" t="str">
        <f t="shared" si="8"/>
        <v>Visitation</v>
      </c>
    </row>
    <row r="128" spans="1:23" ht="44">
      <c r="A128" s="98"/>
      <c r="B128" s="65" t="s">
        <v>335</v>
      </c>
      <c r="C128" s="114" t="s">
        <v>245</v>
      </c>
      <c r="D128" s="115" t="str">
        <f t="shared" si="10"/>
        <v>Die Anordnung der Einrichtungen muss mit den vorhandenen Mitteln in einer Weise möglich sein, dass sie selbst frei zugänglich bleiben und auch der Zugang zum Patienten nicht behindert wird.</v>
      </c>
      <c r="E128" s="6" t="str">
        <f t="shared" si="11"/>
        <v>Visitation</v>
      </c>
      <c r="R128" s="207" t="s">
        <v>711</v>
      </c>
      <c r="S128" s="332" t="s">
        <v>558</v>
      </c>
      <c r="T128" s="383" t="str">
        <f t="shared" si="7"/>
        <v>Die Anordnung der Einrichtungen muss mit den vorhandenen Mitteln in einer Weise möglich sein, dass sie selbst frei zugänglich bleiben und auch der Zugang zum Patienten nicht behindert wird.</v>
      </c>
      <c r="U128" s="208" t="s">
        <v>3</v>
      </c>
      <c r="V128" s="333" t="s">
        <v>480</v>
      </c>
      <c r="W128" s="383" t="str">
        <f t="shared" si="8"/>
        <v>Visitation</v>
      </c>
    </row>
    <row r="129" spans="1:23" ht="17">
      <c r="A129" s="3"/>
      <c r="B129" s="71"/>
      <c r="C129" s="86">
        <v>4</v>
      </c>
      <c r="D129" s="3" t="str">
        <f t="shared" si="10"/>
        <v>Personal</v>
      </c>
      <c r="E129" s="34" t="str">
        <f t="shared" si="11"/>
        <v/>
      </c>
      <c r="R129" s="205" t="s">
        <v>83</v>
      </c>
      <c r="S129" s="330" t="s">
        <v>559</v>
      </c>
      <c r="T129" s="383" t="str">
        <f t="shared" si="7"/>
        <v>Personal</v>
      </c>
      <c r="U129" s="227"/>
      <c r="V129" s="352"/>
      <c r="W129" s="383" t="str">
        <f t="shared" si="8"/>
        <v/>
      </c>
    </row>
    <row r="130" spans="1:23" ht="17">
      <c r="A130" s="14"/>
      <c r="B130" s="70"/>
      <c r="C130" s="87">
        <v>4.0999999999999996</v>
      </c>
      <c r="D130" s="9" t="str">
        <f t="shared" si="10"/>
        <v>Ärztlicher Dienst</v>
      </c>
      <c r="E130" s="32" t="str">
        <f t="shared" si="11"/>
        <v/>
      </c>
      <c r="R130" s="211" t="s">
        <v>84</v>
      </c>
      <c r="S130" s="336" t="s">
        <v>560</v>
      </c>
      <c r="T130" s="383" t="str">
        <f t="shared" si="7"/>
        <v>Ärztlicher Dienst</v>
      </c>
      <c r="U130" s="226"/>
      <c r="V130" s="351"/>
      <c r="W130" s="383" t="str">
        <f t="shared" si="8"/>
        <v/>
      </c>
    </row>
    <row r="131" spans="1:23" ht="17">
      <c r="A131" s="79"/>
      <c r="B131" s="80"/>
      <c r="C131" s="94" t="s">
        <v>93</v>
      </c>
      <c r="D131" s="79" t="str">
        <f t="shared" si="10"/>
        <v>Der ärztliche Leiter</v>
      </c>
      <c r="E131" s="33" t="str">
        <f t="shared" si="11"/>
        <v/>
      </c>
      <c r="R131" s="213" t="s">
        <v>85</v>
      </c>
      <c r="S131" s="338" t="s">
        <v>561</v>
      </c>
      <c r="T131" s="383" t="str">
        <f t="shared" ref="T131:T194" si="12">IF(R131=0,"",IF($A$1="D",R131,S131))</f>
        <v>Der ärztliche Leiter</v>
      </c>
      <c r="U131" s="226"/>
      <c r="V131" s="351"/>
      <c r="W131" s="383" t="str">
        <f t="shared" ref="W131:W194" si="13">IF(U131=0,"",IF($A$1="D",U131,V131))</f>
        <v/>
      </c>
    </row>
    <row r="132" spans="1:23" ht="28">
      <c r="A132" s="138">
        <v>1</v>
      </c>
      <c r="B132" s="66"/>
      <c r="C132" s="114" t="s">
        <v>246</v>
      </c>
      <c r="D132" s="115" t="str">
        <f t="shared" si="10"/>
        <v>Medizinisch und administrativ verantwortlich für die IS (zum Teil gemeinsam mit der pflegerischen Leitung)</v>
      </c>
      <c r="E132" s="6" t="str">
        <f t="shared" si="11"/>
        <v>Reglement und Visitation</v>
      </c>
      <c r="R132" s="207" t="s">
        <v>324</v>
      </c>
      <c r="S132" s="332" t="s">
        <v>562</v>
      </c>
      <c r="T132" s="383" t="str">
        <f t="shared" si="12"/>
        <v>Medizinisch und administrativ verantwortlich für die IS (zum Teil gemeinsam mit der pflegerischen Leitung)</v>
      </c>
      <c r="U132" s="208" t="s">
        <v>86</v>
      </c>
      <c r="V132" s="333" t="s">
        <v>602</v>
      </c>
      <c r="W132" s="383" t="str">
        <f t="shared" si="13"/>
        <v>Reglement und Visitation</v>
      </c>
    </row>
    <row r="133" spans="1:23" ht="44">
      <c r="A133" s="138">
        <v>1</v>
      </c>
      <c r="B133" s="66"/>
      <c r="C133" s="93" t="s">
        <v>247</v>
      </c>
      <c r="D133" s="5" t="str">
        <f t="shared" si="10"/>
        <v>Die administrative Verantwortung umfasst die allgemeine Organisation der IS sowie die Verbindungen mit den medizinischen und administrativen Gremien des Spitals, der SGI, der Dachorganisation, der FMH und weiteren Gremien.</v>
      </c>
      <c r="E133" s="6" t="str">
        <f t="shared" si="11"/>
        <v>Reglement und Visitation</v>
      </c>
      <c r="R133" s="207" t="s">
        <v>87</v>
      </c>
      <c r="S133" s="332" t="s">
        <v>563</v>
      </c>
      <c r="T133" s="383" t="str">
        <f t="shared" si="12"/>
        <v>Die administrative Verantwortung umfasst die allgemeine Organisation der IS sowie die Verbindungen mit den medizinischen und administrativen Gremien des Spitals, der SGI, der Dachorganisation, der FMH und weiteren Gremien.</v>
      </c>
      <c r="U133" s="208" t="s">
        <v>86</v>
      </c>
      <c r="V133" s="333" t="s">
        <v>602</v>
      </c>
      <c r="W133" s="383" t="str">
        <f t="shared" si="13"/>
        <v>Reglement und Visitation</v>
      </c>
    </row>
    <row r="134" spans="1:23" ht="70">
      <c r="A134" s="138">
        <v>1</v>
      </c>
      <c r="B134" s="66"/>
      <c r="C134" s="93" t="s">
        <v>248</v>
      </c>
      <c r="D134" s="7" t="str">
        <f t="shared" si="10"/>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E134" s="6" t="str">
        <f t="shared" si="11"/>
        <v>Reglement und Visitation</v>
      </c>
      <c r="R134" s="207" t="s">
        <v>88</v>
      </c>
      <c r="S134" s="332" t="s">
        <v>564</v>
      </c>
      <c r="T134" s="383" t="str">
        <f t="shared" si="12"/>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U134" s="208" t="s">
        <v>86</v>
      </c>
      <c r="V134" s="333" t="s">
        <v>602</v>
      </c>
      <c r="W134" s="383" t="str">
        <f t="shared" si="13"/>
        <v>Reglement und Visitation</v>
      </c>
    </row>
    <row r="135" spans="1:23" ht="28">
      <c r="A135" s="138">
        <v>1</v>
      </c>
      <c r="B135" s="66"/>
      <c r="C135" s="93" t="s">
        <v>249</v>
      </c>
      <c r="D135" s="7" t="str">
        <f t="shared" si="10"/>
        <v xml:space="preserve">Er ist verantwortlich für die intensivmedizinischen Behandlungs-Richtlinien und deren Umsetzung. </v>
      </c>
      <c r="E135" s="6" t="str">
        <f t="shared" si="11"/>
        <v>Reglement und Visitation</v>
      </c>
      <c r="R135" s="207" t="s">
        <v>89</v>
      </c>
      <c r="S135" s="332" t="s">
        <v>565</v>
      </c>
      <c r="T135" s="383" t="str">
        <f t="shared" si="12"/>
        <v xml:space="preserve">Er ist verantwortlich für die intensivmedizinischen Behandlungs-Richtlinien und deren Umsetzung. </v>
      </c>
      <c r="U135" s="208" t="s">
        <v>86</v>
      </c>
      <c r="V135" s="333" t="s">
        <v>602</v>
      </c>
      <c r="W135" s="383" t="str">
        <f t="shared" si="13"/>
        <v>Reglement und Visitation</v>
      </c>
    </row>
    <row r="136" spans="1:23" ht="44">
      <c r="A136" s="138">
        <v>1</v>
      </c>
      <c r="B136" s="66"/>
      <c r="C136" s="93" t="s">
        <v>250</v>
      </c>
      <c r="D136" s="13" t="str">
        <f t="shared" si="10"/>
        <v xml:space="preserve">Der ärztliche Leiter oder die von ihm bezeichneten für die IS zuständigen Ärzte sind verantwortlich für die Bettendisposition der IS und entscheiden über Aufnahme und Entlassung von Patienten. </v>
      </c>
      <c r="E136" s="6" t="str">
        <f t="shared" si="11"/>
        <v>Reglement und Visitation</v>
      </c>
      <c r="R136" s="207" t="s">
        <v>90</v>
      </c>
      <c r="S136" s="332" t="s">
        <v>566</v>
      </c>
      <c r="T136" s="383" t="str">
        <f t="shared" si="12"/>
        <v xml:space="preserve">Der ärztliche Leiter oder die von ihm bezeichneten für die IS zuständigen Ärzte sind verantwortlich für die Bettendisposition der IS und entscheiden über Aufnahme und Entlassung von Patienten. </v>
      </c>
      <c r="U136" s="208" t="s">
        <v>86</v>
      </c>
      <c r="V136" s="333" t="s">
        <v>602</v>
      </c>
      <c r="W136" s="383" t="str">
        <f t="shared" si="13"/>
        <v>Reglement und Visitation</v>
      </c>
    </row>
    <row r="137" spans="1:23" ht="42">
      <c r="A137" s="138">
        <v>1</v>
      </c>
      <c r="B137" s="66"/>
      <c r="C137" s="93" t="s">
        <v>251</v>
      </c>
      <c r="D137" s="115" t="str">
        <f t="shared" si="10"/>
        <v>Der ärztliche Leiter ist für die Organisation und Durchführung der Weiter- und Fortbildung von Ärzteschaft und Pflegepersonal der IS mitverantwortlich und daran mitbeteiligt.</v>
      </c>
      <c r="E137" s="6" t="str">
        <f t="shared" si="11"/>
        <v>Reglement und Visitation</v>
      </c>
      <c r="R137" s="207" t="s">
        <v>91</v>
      </c>
      <c r="S137" s="332" t="s">
        <v>567</v>
      </c>
      <c r="T137" s="383" t="str">
        <f t="shared" si="12"/>
        <v>Der ärztliche Leiter ist für die Organisation und Durchführung der Weiter- und Fortbildung von Ärzteschaft und Pflegepersonal der IS mitverantwortlich und daran mitbeteiligt.</v>
      </c>
      <c r="U137" s="208" t="s">
        <v>86</v>
      </c>
      <c r="V137" s="333" t="s">
        <v>602</v>
      </c>
      <c r="W137" s="383" t="str">
        <f t="shared" si="13"/>
        <v>Reglement und Visitation</v>
      </c>
    </row>
    <row r="138" spans="1:23" ht="88">
      <c r="A138" s="138">
        <v>1</v>
      </c>
      <c r="B138" s="66"/>
      <c r="C138" s="114" t="s">
        <v>252</v>
      </c>
      <c r="D138" s="115" t="str">
        <f t="shared" si="10"/>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E138" s="6" t="str">
        <f t="shared" si="11"/>
        <v>Reglement und Visitation</v>
      </c>
      <c r="R138" s="207" t="s">
        <v>712</v>
      </c>
      <c r="S138" s="332" t="s">
        <v>568</v>
      </c>
      <c r="T138" s="383" t="str">
        <f t="shared" si="12"/>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U138" s="208" t="s">
        <v>86</v>
      </c>
      <c r="V138" s="333" t="s">
        <v>602</v>
      </c>
      <c r="W138" s="383" t="str">
        <f t="shared" si="13"/>
        <v>Reglement und Visitation</v>
      </c>
    </row>
    <row r="139" spans="1:23" ht="42">
      <c r="A139" s="138">
        <v>1</v>
      </c>
      <c r="B139" s="66"/>
      <c r="C139" s="114" t="s">
        <v>253</v>
      </c>
      <c r="D139" s="115" t="str">
        <f t="shared" si="10"/>
        <v>Der ärztliche Leiter ist in dieser Funktion unbefristet angestellt. In einem Rotationssystem sind Leitungswechsel höchstens alle 3 Jahre erlaubt.</v>
      </c>
      <c r="E139" s="6" t="str">
        <f t="shared" si="11"/>
        <v>Reglement und Visitation</v>
      </c>
      <c r="R139" s="207" t="s">
        <v>92</v>
      </c>
      <c r="S139" s="332" t="s">
        <v>569</v>
      </c>
      <c r="T139" s="383" t="str">
        <f t="shared" si="12"/>
        <v>Der ärztliche Leiter ist in dieser Funktion unbefristet angestellt. In einem Rotationssystem sind Leitungswechsel höchstens alle 3 Jahre erlaubt.</v>
      </c>
      <c r="U139" s="208" t="s">
        <v>86</v>
      </c>
      <c r="V139" s="333" t="s">
        <v>602</v>
      </c>
      <c r="W139" s="383" t="str">
        <f t="shared" si="13"/>
        <v>Reglement und Visitation</v>
      </c>
    </row>
    <row r="140" spans="1:23" ht="66">
      <c r="A140" s="138">
        <v>1</v>
      </c>
      <c r="B140" s="66"/>
      <c r="C140" s="114" t="s">
        <v>254</v>
      </c>
      <c r="D140" s="115" t="str">
        <f t="shared" si="10"/>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E140" s="6" t="str">
        <f t="shared" si="11"/>
        <v>Reglement und Visitation</v>
      </c>
      <c r="R140" s="207" t="s">
        <v>94</v>
      </c>
      <c r="S140" s="332" t="s">
        <v>570</v>
      </c>
      <c r="T140" s="383" t="str">
        <f t="shared" si="12"/>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U140" s="208" t="s">
        <v>86</v>
      </c>
      <c r="V140" s="333" t="s">
        <v>602</v>
      </c>
      <c r="W140" s="383" t="str">
        <f t="shared" si="13"/>
        <v>Reglement und Visitation</v>
      </c>
    </row>
    <row r="141" spans="1:23" ht="70">
      <c r="A141" s="138">
        <v>1</v>
      </c>
      <c r="B141" s="66"/>
      <c r="C141" s="114" t="s">
        <v>255</v>
      </c>
      <c r="D141" s="115" t="str">
        <f t="shared" si="10"/>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E141" s="6" t="str">
        <f t="shared" si="11"/>
        <v>Reglement und Visitation</v>
      </c>
      <c r="R141" s="207" t="s">
        <v>713</v>
      </c>
      <c r="S141" s="332" t="s">
        <v>571</v>
      </c>
      <c r="T141" s="383" t="str">
        <f t="shared" si="12"/>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U141" s="208" t="s">
        <v>86</v>
      </c>
      <c r="V141" s="333" t="s">
        <v>602</v>
      </c>
      <c r="W141" s="383" t="str">
        <f t="shared" si="13"/>
        <v>Reglement und Visitation</v>
      </c>
    </row>
    <row r="142" spans="1:23" ht="16">
      <c r="A142" s="33"/>
      <c r="B142" s="68"/>
      <c r="C142" s="90" t="s">
        <v>160</v>
      </c>
      <c r="D142" s="11" t="str">
        <f t="shared" si="10"/>
        <v>Dienstorganisation</v>
      </c>
      <c r="E142" s="20" t="str">
        <f t="shared" si="11"/>
        <v/>
      </c>
      <c r="R142" s="213" t="s">
        <v>95</v>
      </c>
      <c r="S142" s="338" t="s">
        <v>572</v>
      </c>
      <c r="T142" s="383" t="str">
        <f t="shared" si="12"/>
        <v>Dienstorganisation</v>
      </c>
      <c r="W142" s="383" t="str">
        <f t="shared" si="13"/>
        <v/>
      </c>
    </row>
    <row r="143" spans="1:23" ht="84">
      <c r="A143" s="138">
        <v>1</v>
      </c>
      <c r="B143" s="66"/>
      <c r="C143" s="114" t="s">
        <v>256</v>
      </c>
      <c r="D143" s="5" t="str">
        <f t="shared" si="10"/>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E143" s="6" t="str">
        <f t="shared" si="11"/>
        <v>Reglement und Visitation</v>
      </c>
      <c r="R143" s="207" t="s">
        <v>96</v>
      </c>
      <c r="S143" s="332" t="s">
        <v>573</v>
      </c>
      <c r="T143" s="383" t="str">
        <f t="shared" si="12"/>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U143" s="208" t="s">
        <v>86</v>
      </c>
      <c r="V143" s="333" t="s">
        <v>602</v>
      </c>
      <c r="W143" s="383" t="str">
        <f t="shared" si="13"/>
        <v>Reglement und Visitation</v>
      </c>
    </row>
    <row r="144" spans="1:23" ht="165" customHeight="1">
      <c r="A144" s="138">
        <v>1</v>
      </c>
      <c r="B144" s="66"/>
      <c r="C144" s="114" t="s">
        <v>257</v>
      </c>
      <c r="D144" s="1972" t="str">
        <f>T144</f>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E144" s="6" t="str">
        <f t="shared" si="11"/>
        <v>Reglement und Visitation</v>
      </c>
      <c r="R144" s="207" t="s">
        <v>2110</v>
      </c>
      <c r="S144" s="332" t="s">
        <v>2120</v>
      </c>
      <c r="T144" s="383" t="str">
        <f t="shared" si="12"/>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U144" s="208" t="s">
        <v>86</v>
      </c>
      <c r="V144" s="333" t="s">
        <v>602</v>
      </c>
      <c r="W144" s="383" t="str">
        <f t="shared" si="13"/>
        <v>Reglement und Visitation</v>
      </c>
    </row>
    <row r="145" spans="1:23" ht="28">
      <c r="A145" s="79"/>
      <c r="B145" s="68"/>
      <c r="C145" s="92" t="s">
        <v>161</v>
      </c>
      <c r="D145" s="79" t="str">
        <f t="shared" si="10"/>
        <v>Assistenz-, Ober- und/oder Kaderärzte, Fachärzte</v>
      </c>
      <c r="E145" s="31" t="str">
        <f t="shared" si="11"/>
        <v/>
      </c>
      <c r="R145" s="213" t="s">
        <v>97</v>
      </c>
      <c r="S145" s="338" t="s">
        <v>574</v>
      </c>
      <c r="T145" s="383" t="str">
        <f t="shared" si="12"/>
        <v>Assistenz-, Ober- und/oder Kaderärzte, Fachärzte</v>
      </c>
      <c r="U145" s="225"/>
      <c r="V145" s="350"/>
      <c r="W145" s="383" t="str">
        <f t="shared" si="13"/>
        <v/>
      </c>
    </row>
    <row r="146" spans="1:23" ht="42">
      <c r="A146" s="138">
        <v>1</v>
      </c>
      <c r="B146" s="66"/>
      <c r="C146" s="114" t="s">
        <v>258</v>
      </c>
      <c r="D146" s="115" t="str">
        <f t="shared" si="10"/>
        <v>Alle Ärzte der IS sind dem ärztlichen Leiter der IS und den zuständigen Kaderärzten der IS in jedem Fall fachlich und führungsmässig direkt unterstellt.</v>
      </c>
      <c r="E146" s="6" t="str">
        <f t="shared" si="11"/>
        <v>Reglement und Visitation</v>
      </c>
      <c r="R146" s="207" t="s">
        <v>98</v>
      </c>
      <c r="S146" s="332" t="s">
        <v>575</v>
      </c>
      <c r="T146" s="383" t="str">
        <f t="shared" si="12"/>
        <v>Alle Ärzte der IS sind dem ärztlichen Leiter der IS und den zuständigen Kaderärzten der IS in jedem Fall fachlich und führungsmässig direkt unterstellt.</v>
      </c>
      <c r="U146" s="208" t="s">
        <v>86</v>
      </c>
      <c r="V146" s="333" t="s">
        <v>602</v>
      </c>
      <c r="W146" s="383" t="str">
        <f t="shared" si="13"/>
        <v>Reglement und Visitation</v>
      </c>
    </row>
    <row r="147" spans="1:23" ht="44">
      <c r="A147" s="138">
        <v>1</v>
      </c>
      <c r="B147" s="66"/>
      <c r="C147" s="114" t="s">
        <v>259</v>
      </c>
      <c r="D147" s="115" t="str">
        <f t="shared" si="10"/>
        <v>Ärzte in Weiterbildung haben Anrecht auf das Ausstellen der zutreffenden Zeugnisformulare gemäss Weiterbildungsordnung der FMH und entsprechender Weiterbildungsprogramme der Fachgesellschaften.</v>
      </c>
      <c r="E147" s="6" t="str">
        <f t="shared" si="11"/>
        <v>Reglement und Visitation</v>
      </c>
      <c r="R147" s="207" t="s">
        <v>99</v>
      </c>
      <c r="S147" s="332" t="s">
        <v>576</v>
      </c>
      <c r="T147" s="383" t="str">
        <f t="shared" si="12"/>
        <v>Ärzte in Weiterbildung haben Anrecht auf das Ausstellen der zutreffenden Zeugnisformulare gemäss Weiterbildungsordnung der FMH und entsprechender Weiterbildungsprogramme der Fachgesellschaften.</v>
      </c>
      <c r="U147" s="208" t="s">
        <v>86</v>
      </c>
      <c r="V147" s="333" t="s">
        <v>602</v>
      </c>
      <c r="W147" s="383" t="str">
        <f t="shared" si="13"/>
        <v>Reglement und Visitation</v>
      </c>
    </row>
    <row r="148" spans="1:23" ht="77">
      <c r="A148" s="138">
        <v>1</v>
      </c>
      <c r="B148" s="66"/>
      <c r="C148" s="114" t="s">
        <v>260</v>
      </c>
      <c r="D148" s="115" t="str">
        <f t="shared" si="10"/>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E148" s="6" t="str">
        <f t="shared" si="11"/>
        <v>Reglement und Visitation</v>
      </c>
      <c r="R148" s="207" t="s">
        <v>100</v>
      </c>
      <c r="S148" s="332" t="s">
        <v>577</v>
      </c>
      <c r="T148" s="383" t="str">
        <f t="shared" si="12"/>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U148" s="208" t="s">
        <v>86</v>
      </c>
      <c r="V148" s="333" t="s">
        <v>602</v>
      </c>
      <c r="W148" s="383" t="str">
        <f t="shared" si="13"/>
        <v>Reglement und Visitation</v>
      </c>
    </row>
    <row r="149" spans="1:23" ht="28">
      <c r="A149" s="138">
        <v>1</v>
      </c>
      <c r="B149" s="66"/>
      <c r="C149" s="114" t="s">
        <v>261</v>
      </c>
      <c r="D149" s="115" t="str">
        <f t="shared" si="10"/>
        <v>Assistenzärzte sind der IS für eine Zeitdauer von mindestens 3 Monaten zugeteilt.</v>
      </c>
      <c r="E149" s="6" t="str">
        <f t="shared" si="11"/>
        <v>Reglement und Visitation</v>
      </c>
      <c r="R149" s="207" t="s">
        <v>101</v>
      </c>
      <c r="S149" s="332" t="s">
        <v>578</v>
      </c>
      <c r="T149" s="383" t="str">
        <f t="shared" si="12"/>
        <v>Assistenzärzte sind der IS für eine Zeitdauer von mindestens 3 Monaten zugeteilt.</v>
      </c>
      <c r="U149" s="208" t="s">
        <v>86</v>
      </c>
      <c r="V149" s="333" t="s">
        <v>602</v>
      </c>
      <c r="W149" s="383" t="str">
        <f t="shared" si="13"/>
        <v>Reglement und Visitation</v>
      </c>
    </row>
    <row r="150" spans="1:23" ht="17">
      <c r="A150" s="33"/>
      <c r="B150" s="67"/>
      <c r="C150" s="90" t="s">
        <v>162</v>
      </c>
      <c r="D150" s="11" t="str">
        <f t="shared" si="10"/>
        <v>Hintergrunddienst</v>
      </c>
      <c r="E150" s="32" t="str">
        <f t="shared" si="11"/>
        <v/>
      </c>
      <c r="R150" s="213" t="s">
        <v>102</v>
      </c>
      <c r="S150" s="338" t="s">
        <v>579</v>
      </c>
      <c r="T150" s="383" t="str">
        <f t="shared" si="12"/>
        <v>Hintergrunddienst</v>
      </c>
      <c r="U150" s="226"/>
      <c r="V150" s="351"/>
      <c r="W150" s="383" t="str">
        <f t="shared" si="13"/>
        <v/>
      </c>
    </row>
    <row r="151" spans="1:23" ht="157" customHeight="1">
      <c r="A151" s="138">
        <v>1</v>
      </c>
      <c r="B151" s="66"/>
      <c r="C151" s="114" t="s">
        <v>262</v>
      </c>
      <c r="D151" s="115" t="str">
        <f>T151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E151" s="6" t="str">
        <f t="shared" si="11"/>
        <v/>
      </c>
      <c r="R151" s="207" t="s">
        <v>2127</v>
      </c>
      <c r="S151" s="332" t="s">
        <v>2121</v>
      </c>
      <c r="T151" s="383" t="str">
        <f>IF(R151=0,"",IF($A$1="D",R151,S151))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U151" s="208"/>
      <c r="V151" s="333"/>
      <c r="W151" s="383" t="str">
        <f t="shared" si="13"/>
        <v/>
      </c>
    </row>
    <row r="152" spans="1:23" ht="17">
      <c r="A152" s="33"/>
      <c r="B152" s="67"/>
      <c r="C152" s="90" t="s">
        <v>103</v>
      </c>
      <c r="D152" s="11" t="str">
        <f t="shared" ref="D152:D215" si="14">T152</f>
        <v>Konsiliardienste</v>
      </c>
      <c r="E152" s="32" t="str">
        <f t="shared" si="11"/>
        <v/>
      </c>
      <c r="R152" s="213" t="s">
        <v>104</v>
      </c>
      <c r="S152" s="338" t="s">
        <v>580</v>
      </c>
      <c r="T152" s="383" t="str">
        <f t="shared" si="12"/>
        <v>Konsiliardienste</v>
      </c>
      <c r="U152" s="226"/>
      <c r="V152" s="351"/>
      <c r="W152" s="383" t="str">
        <f t="shared" si="13"/>
        <v/>
      </c>
    </row>
    <row r="153" spans="1:23" ht="56">
      <c r="A153" s="138">
        <v>1</v>
      </c>
      <c r="B153" s="66"/>
      <c r="C153" s="114" t="s">
        <v>263</v>
      </c>
      <c r="D153" s="5" t="str">
        <f t="shared" si="14"/>
        <v>Je ein Vertreter jeder Grunddisziplin (Anästhesie, Innere Medizin bzw. Pädiatrie, Chirurgie bzw. Kinderchirurgie, Gynäkologie, Radiologie) muss jederzeit für Konsilien verfügbar sein.</v>
      </c>
      <c r="E153" s="6" t="str">
        <f t="shared" si="11"/>
        <v>Reglement und Visitation</v>
      </c>
      <c r="R153" s="207" t="s">
        <v>105</v>
      </c>
      <c r="S153" s="332" t="s">
        <v>581</v>
      </c>
      <c r="T153" s="383" t="str">
        <f t="shared" si="12"/>
        <v>Je ein Vertreter jeder Grunddisziplin (Anästhesie, Innere Medizin bzw. Pädiatrie, Chirurgie bzw. Kinderchirurgie, Gynäkologie, Radiologie) muss jederzeit für Konsilien verfügbar sein.</v>
      </c>
      <c r="U153" s="208" t="s">
        <v>86</v>
      </c>
      <c r="V153" s="333" t="s">
        <v>86</v>
      </c>
      <c r="W153" s="383" t="str">
        <f t="shared" si="13"/>
        <v>Reglement und Visitation</v>
      </c>
    </row>
    <row r="154" spans="1:23" ht="17">
      <c r="A154" s="101"/>
      <c r="B154" s="67"/>
      <c r="C154" s="90" t="s">
        <v>106</v>
      </c>
      <c r="D154" s="11" t="str">
        <f t="shared" si="14"/>
        <v>Ärztliche Verordnungen</v>
      </c>
      <c r="E154" s="32" t="str">
        <f t="shared" si="11"/>
        <v/>
      </c>
      <c r="R154" s="213" t="s">
        <v>107</v>
      </c>
      <c r="S154" s="338" t="s">
        <v>582</v>
      </c>
      <c r="T154" s="383" t="str">
        <f t="shared" si="12"/>
        <v>Ärztliche Verordnungen</v>
      </c>
      <c r="U154" s="226"/>
      <c r="V154" s="351"/>
      <c r="W154" s="383" t="str">
        <f t="shared" si="13"/>
        <v/>
      </c>
    </row>
    <row r="155" spans="1:23" ht="28">
      <c r="A155" s="138">
        <v>1</v>
      </c>
      <c r="B155" s="66"/>
      <c r="C155" s="114" t="s">
        <v>264</v>
      </c>
      <c r="D155" s="115" t="str">
        <f t="shared" si="14"/>
        <v>Ärztliche Verordnungen werden in schriftlicher oder elektronischer Form abgegeben.</v>
      </c>
      <c r="E155" s="6" t="str">
        <f t="shared" si="11"/>
        <v>Reglement und Visitation</v>
      </c>
      <c r="R155" s="207" t="s">
        <v>108</v>
      </c>
      <c r="S155" s="332" t="s">
        <v>583</v>
      </c>
      <c r="T155" s="383" t="str">
        <f t="shared" si="12"/>
        <v>Ärztliche Verordnungen werden in schriftlicher oder elektronischer Form abgegeben.</v>
      </c>
      <c r="U155" s="208" t="s">
        <v>86</v>
      </c>
      <c r="V155" s="333" t="s">
        <v>86</v>
      </c>
      <c r="W155" s="383" t="str">
        <f t="shared" si="13"/>
        <v>Reglement und Visitation</v>
      </c>
    </row>
    <row r="156" spans="1:23" ht="56">
      <c r="A156" s="138">
        <v>1</v>
      </c>
      <c r="B156" s="66"/>
      <c r="C156" s="114" t="s">
        <v>265</v>
      </c>
      <c r="D156" s="5" t="str">
        <f t="shared" si="14"/>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E156" s="32" t="str">
        <f t="shared" si="11"/>
        <v/>
      </c>
      <c r="R156" s="207" t="s">
        <v>109</v>
      </c>
      <c r="S156" s="332" t="s">
        <v>584</v>
      </c>
      <c r="T156" s="383" t="str">
        <f t="shared" si="12"/>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U156" s="226"/>
      <c r="V156" s="351"/>
      <c r="W156" s="383" t="str">
        <f t="shared" si="13"/>
        <v/>
      </c>
    </row>
    <row r="157" spans="1:23" ht="28">
      <c r="A157" s="33"/>
      <c r="B157" s="68"/>
      <c r="C157" s="87">
        <v>4.2</v>
      </c>
      <c r="D157" s="9" t="str">
        <f t="shared" si="14"/>
        <v>Pflegepersonal (siehe auch Tabelle zur Pflegestellenberechnung)</v>
      </c>
      <c r="E157" s="32" t="str">
        <f t="shared" si="11"/>
        <v/>
      </c>
      <c r="R157" s="211" t="s">
        <v>110</v>
      </c>
      <c r="S157" s="336" t="s">
        <v>585</v>
      </c>
      <c r="T157" s="383" t="str">
        <f t="shared" si="12"/>
        <v>Pflegepersonal (siehe auch Tabelle zur Pflegestellenberechnung)</v>
      </c>
      <c r="U157" s="226"/>
      <c r="V157" s="351"/>
      <c r="W157" s="383" t="str">
        <f t="shared" si="13"/>
        <v/>
      </c>
    </row>
    <row r="158" spans="1:23" ht="17">
      <c r="A158" s="101"/>
      <c r="B158" s="67"/>
      <c r="C158" s="90" t="s">
        <v>163</v>
      </c>
      <c r="D158" s="11" t="str">
        <f t="shared" si="14"/>
        <v>Pflegeleitung</v>
      </c>
      <c r="E158" s="32" t="str">
        <f t="shared" si="11"/>
        <v/>
      </c>
      <c r="R158" s="213" t="s">
        <v>111</v>
      </c>
      <c r="S158" s="338" t="s">
        <v>586</v>
      </c>
      <c r="T158" s="383" t="str">
        <f t="shared" si="12"/>
        <v>Pflegeleitung</v>
      </c>
      <c r="U158" s="226"/>
      <c r="V158" s="351"/>
      <c r="W158" s="383" t="str">
        <f t="shared" si="13"/>
        <v/>
      </c>
    </row>
    <row r="159" spans="1:23" ht="28">
      <c r="A159" s="138">
        <v>1</v>
      </c>
      <c r="B159" s="66"/>
      <c r="C159" s="114" t="s">
        <v>311</v>
      </c>
      <c r="D159" s="7" t="str">
        <f t="shared" si="14"/>
        <v>Fachlich und administrativ verantwortlich für die Pflege auf der IS (zum Teil gemeinsam mit der ärztlichen Leitung)</v>
      </c>
      <c r="E159" s="6" t="str">
        <f t="shared" si="11"/>
        <v>Reglement und Visitation</v>
      </c>
      <c r="R159" s="207" t="s">
        <v>323</v>
      </c>
      <c r="S159" s="332" t="s">
        <v>587</v>
      </c>
      <c r="T159" s="383" t="str">
        <f t="shared" si="12"/>
        <v>Fachlich und administrativ verantwortlich für die Pflege auf der IS (zum Teil gemeinsam mit der ärztlichen Leitung)</v>
      </c>
      <c r="U159" s="208" t="s">
        <v>86</v>
      </c>
      <c r="V159" s="333" t="s">
        <v>602</v>
      </c>
      <c r="W159" s="383" t="str">
        <f t="shared" si="13"/>
        <v>Reglement und Visitation</v>
      </c>
    </row>
    <row r="160" spans="1:23" ht="56">
      <c r="A160" s="138">
        <v>1</v>
      </c>
      <c r="B160" s="66"/>
      <c r="C160" s="114" t="s">
        <v>266</v>
      </c>
      <c r="D160" s="7" t="str">
        <f t="shared" si="14"/>
        <v>Die administrative Verantwortung umfasst die allgemeine Organisation der IS sowie die Verbindungen mit den Pflege- und administrativen Gremien des Spitals, der SGI, des SBK und anderen Gremien (zum Teil gemeinsam mit dem ärztlichen Leiter).</v>
      </c>
      <c r="E160" s="6" t="str">
        <f t="shared" si="11"/>
        <v>Reglement und Visitation</v>
      </c>
      <c r="R160" s="207" t="s">
        <v>316</v>
      </c>
      <c r="S160" s="332" t="s">
        <v>588</v>
      </c>
      <c r="T160" s="383" t="str">
        <f t="shared" si="12"/>
        <v>Die administrative Verantwortung umfasst die allgemeine Organisation der IS sowie die Verbindungen mit den Pflege- und administrativen Gremien des Spitals, der SGI, des SBK und anderen Gremien (zum Teil gemeinsam mit dem ärztlichen Leiter).</v>
      </c>
      <c r="U160" s="208" t="s">
        <v>86</v>
      </c>
      <c r="V160" s="333" t="s">
        <v>602</v>
      </c>
      <c r="W160" s="383" t="str">
        <f t="shared" si="13"/>
        <v>Reglement und Visitation</v>
      </c>
    </row>
    <row r="161" spans="1:23" ht="56">
      <c r="A161" s="138">
        <v>1</v>
      </c>
      <c r="B161" s="66"/>
      <c r="C161" s="114" t="s">
        <v>267</v>
      </c>
      <c r="D161" s="7" t="str">
        <f t="shared" si="14"/>
        <v>Die intensivpflegerische Behandlung aller Patienten der IS erfolgt unter der Leitung und Verantwortung der Pflegeleitung. Diese kann Aufgaben sowohl an ihre Mitarbeiter als auch an Pflegende ausserhalb der IS delegieren.</v>
      </c>
      <c r="E161" s="6" t="str">
        <f t="shared" si="11"/>
        <v>Reglement und Visitation</v>
      </c>
      <c r="R161" s="207" t="s">
        <v>317</v>
      </c>
      <c r="S161" s="332" t="s">
        <v>589</v>
      </c>
      <c r="T161" s="383" t="str">
        <f t="shared" si="12"/>
        <v>Die intensivpflegerische Behandlung aller Patienten der IS erfolgt unter der Leitung und Verantwortung der Pflegeleitung. Diese kann Aufgaben sowohl an ihre Mitarbeiter als auch an Pflegende ausserhalb der IS delegieren.</v>
      </c>
      <c r="U161" s="208" t="s">
        <v>86</v>
      </c>
      <c r="V161" s="333" t="s">
        <v>602</v>
      </c>
      <c r="W161" s="383" t="str">
        <f t="shared" si="13"/>
        <v>Reglement und Visitation</v>
      </c>
    </row>
    <row r="162" spans="1:23" ht="28">
      <c r="A162" s="138">
        <v>1</v>
      </c>
      <c r="B162" s="66"/>
      <c r="C162" s="114" t="s">
        <v>268</v>
      </c>
      <c r="D162" s="7" t="str">
        <f t="shared" si="14"/>
        <v>Verantwortlich für Weiter- und Fortbildung des Pflege- und Pflegehilfs-Personal der IS und daran mitbeteiligt.</v>
      </c>
      <c r="E162" s="6" t="str">
        <f t="shared" si="11"/>
        <v>Reglement und Visitation</v>
      </c>
      <c r="R162" s="207" t="s">
        <v>318</v>
      </c>
      <c r="S162" s="332" t="s">
        <v>590</v>
      </c>
      <c r="T162" s="383" t="str">
        <f t="shared" si="12"/>
        <v>Verantwortlich für Weiter- und Fortbildung des Pflege- und Pflegehilfs-Personal der IS und daran mitbeteiligt.</v>
      </c>
      <c r="U162" s="208" t="s">
        <v>86</v>
      </c>
      <c r="V162" s="333" t="s">
        <v>602</v>
      </c>
      <c r="W162" s="383" t="str">
        <f t="shared" si="13"/>
        <v>Reglement und Visitation</v>
      </c>
    </row>
    <row r="163" spans="1:23" ht="88">
      <c r="A163" s="138">
        <v>1</v>
      </c>
      <c r="B163" s="66"/>
      <c r="C163" s="114" t="s">
        <v>269</v>
      </c>
      <c r="D163" s="7" t="str">
        <f t="shared" si="14"/>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E163" s="6" t="str">
        <f t="shared" si="11"/>
        <v>Reglement und Visitation</v>
      </c>
      <c r="R163" s="207" t="s">
        <v>298</v>
      </c>
      <c r="S163" s="332" t="s">
        <v>591</v>
      </c>
      <c r="T163" s="383" t="str">
        <f t="shared" si="12"/>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U163" s="208" t="s">
        <v>86</v>
      </c>
      <c r="V163" s="333" t="s">
        <v>602</v>
      </c>
      <c r="W163" s="383" t="str">
        <f t="shared" si="13"/>
        <v>Reglement und Visitation</v>
      </c>
    </row>
    <row r="164" spans="1:23" ht="42">
      <c r="A164" s="138">
        <v>1</v>
      </c>
      <c r="B164" s="66"/>
      <c r="C164" s="114" t="s">
        <v>299</v>
      </c>
      <c r="D164" s="7" t="str">
        <f t="shared" si="14"/>
        <v>Die pflegerische Leitung ist in dieser Funktion unbefristet angestellt. In einem Rotationssystem sind Leitungswechsel höchstens alle 3 Jahre erlaubt.</v>
      </c>
      <c r="E164" s="6" t="str">
        <f t="shared" si="11"/>
        <v>Reglement und Visitation</v>
      </c>
      <c r="R164" s="207" t="s">
        <v>337</v>
      </c>
      <c r="S164" s="332" t="s">
        <v>592</v>
      </c>
      <c r="T164" s="383" t="str">
        <f t="shared" si="12"/>
        <v>Die pflegerische Leitung ist in dieser Funktion unbefristet angestellt. In einem Rotationssystem sind Leitungswechsel höchstens alle 3 Jahre erlaubt.</v>
      </c>
      <c r="U164" s="208" t="s">
        <v>86</v>
      </c>
      <c r="V164" s="333" t="s">
        <v>602</v>
      </c>
      <c r="W164" s="383" t="str">
        <f t="shared" si="13"/>
        <v>Reglement und Visitation</v>
      </c>
    </row>
    <row r="165" spans="1:23" ht="42">
      <c r="A165" s="138">
        <v>1</v>
      </c>
      <c r="B165" s="66"/>
      <c r="C165" s="114" t="s">
        <v>300</v>
      </c>
      <c r="D165" s="7" t="str">
        <f t="shared" si="14"/>
        <v>Die ausgewiesene Minimalzeit für Kaderfunktionen (auch verteilt auf mehrere Personen) beträgt 80%-Vollzeitäquivalent für 6 Betten plus 10% für jedes zusätzliche Bett.</v>
      </c>
      <c r="E165" s="6" t="str">
        <f t="shared" si="11"/>
        <v>Reglement und Visitation</v>
      </c>
      <c r="R165" s="207" t="s">
        <v>301</v>
      </c>
      <c r="S165" s="332" t="s">
        <v>593</v>
      </c>
      <c r="T165" s="383" t="str">
        <f t="shared" si="12"/>
        <v>Die ausgewiesene Minimalzeit für Kaderfunktionen (auch verteilt auf mehrere Personen) beträgt 80%-Vollzeitäquivalent für 6 Betten plus 10% für jedes zusätzliche Bett.</v>
      </c>
      <c r="U165" s="208" t="s">
        <v>86</v>
      </c>
      <c r="V165" s="333" t="s">
        <v>602</v>
      </c>
      <c r="W165" s="383" t="str">
        <f t="shared" si="13"/>
        <v>Reglement und Visitation</v>
      </c>
    </row>
    <row r="166" spans="1:23" ht="16">
      <c r="A166" s="33"/>
      <c r="B166" s="67"/>
      <c r="C166" s="134" t="s">
        <v>164</v>
      </c>
      <c r="D166" s="9" t="str">
        <f t="shared" si="14"/>
        <v>Pflegeexperte</v>
      </c>
      <c r="E166" s="6" t="str">
        <f t="shared" si="11"/>
        <v/>
      </c>
      <c r="R166" s="211" t="s">
        <v>302</v>
      </c>
      <c r="S166" s="336" t="s">
        <v>594</v>
      </c>
      <c r="T166" s="383" t="str">
        <f t="shared" si="12"/>
        <v>Pflegeexperte</v>
      </c>
      <c r="U166" s="208"/>
      <c r="V166" s="333"/>
      <c r="W166" s="383" t="str">
        <f t="shared" si="13"/>
        <v/>
      </c>
    </row>
    <row r="167" spans="1:23" ht="56">
      <c r="A167" s="98"/>
      <c r="B167" s="65" t="s">
        <v>335</v>
      </c>
      <c r="C167" s="114" t="s">
        <v>270</v>
      </c>
      <c r="D167" s="7" t="str">
        <f t="shared" si="14"/>
        <v>Ein Pflegeexperte mit einem Masterabschluss Pflege einer Fachhochschule oder Universität (Schweizer Bildungssystematik) [1 Punkt] und dem Diplom Experte Intensivpflege NDS HF [plus 1 Punkt] steht entsprechend der Grösse der Station zur Verfügung.</v>
      </c>
      <c r="E167" s="6" t="str">
        <f t="shared" si="11"/>
        <v>Reglement und Visitation</v>
      </c>
      <c r="R167" s="207" t="s">
        <v>303</v>
      </c>
      <c r="S167" s="332" t="s">
        <v>595</v>
      </c>
      <c r="T167" s="383" t="str">
        <f t="shared" si="12"/>
        <v>Ein Pflegeexperte mit einem Masterabschluss Pflege einer Fachhochschule oder Universität (Schweizer Bildungssystematik) [1 Punkt] und dem Diplom Experte Intensivpflege NDS HF [plus 1 Punkt] steht entsprechend der Grösse der Station zur Verfügung.</v>
      </c>
      <c r="U167" s="208" t="s">
        <v>86</v>
      </c>
      <c r="V167" s="333" t="s">
        <v>602</v>
      </c>
      <c r="W167" s="383" t="str">
        <f t="shared" si="13"/>
        <v>Reglement und Visitation</v>
      </c>
    </row>
    <row r="168" spans="1:23" ht="16">
      <c r="A168" s="33"/>
      <c r="B168" s="67"/>
      <c r="C168" s="134" t="s">
        <v>304</v>
      </c>
      <c r="D168" s="7" t="str">
        <f t="shared" si="14"/>
        <v>Minimalbestand an besetzten Pflegestellen Vollzeit (FTE)</v>
      </c>
      <c r="E168" s="6" t="str">
        <f t="shared" si="11"/>
        <v/>
      </c>
      <c r="R168" s="207" t="s">
        <v>305</v>
      </c>
      <c r="S168" s="332" t="s">
        <v>596</v>
      </c>
      <c r="T168" s="383" t="str">
        <f t="shared" si="12"/>
        <v>Minimalbestand an besetzten Pflegestellen Vollzeit (FTE)</v>
      </c>
      <c r="U168" s="208"/>
      <c r="V168" s="333"/>
      <c r="W168" s="383" t="str">
        <f t="shared" si="13"/>
        <v/>
      </c>
    </row>
    <row r="169" spans="1:23" ht="56">
      <c r="A169" s="138">
        <v>1</v>
      </c>
      <c r="B169" s="66"/>
      <c r="C169" s="114" t="s">
        <v>306</v>
      </c>
      <c r="D169" s="7" t="str">
        <f t="shared" si="14"/>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E169" s="6" t="str">
        <f t="shared" si="11"/>
        <v>Reglement und Visitation</v>
      </c>
      <c r="R169" s="207" t="s">
        <v>338</v>
      </c>
      <c r="S169" s="332" t="s">
        <v>597</v>
      </c>
      <c r="T169" s="383" t="str">
        <f t="shared" si="12"/>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U169" s="208" t="s">
        <v>86</v>
      </c>
      <c r="V169" s="333" t="s">
        <v>602</v>
      </c>
      <c r="W169" s="383" t="str">
        <f t="shared" si="13"/>
        <v>Reglement und Visitation</v>
      </c>
    </row>
    <row r="170" spans="1:23" ht="92" customHeight="1">
      <c r="A170" s="78"/>
      <c r="B170" s="139"/>
      <c r="C170" s="91"/>
      <c r="D170" s="193" t="str">
        <f t="shared" si="14"/>
        <v>Tabelle auf Deutsch</v>
      </c>
      <c r="E170" s="193" t="str">
        <f t="shared" ref="E170:E173" si="15">W170</f>
        <v>Tabelle auf Französisch</v>
      </c>
      <c r="R170" s="1940" t="s">
        <v>682</v>
      </c>
      <c r="S170" s="1941" t="s">
        <v>683</v>
      </c>
      <c r="T170" s="383" t="str">
        <f t="shared" si="12"/>
        <v>Tabelle auf Deutsch</v>
      </c>
      <c r="U170" s="224" t="s">
        <v>684</v>
      </c>
      <c r="V170" s="334" t="s">
        <v>685</v>
      </c>
      <c r="W170" s="383" t="str">
        <f t="shared" si="13"/>
        <v>Tabelle auf Französisch</v>
      </c>
    </row>
    <row r="171" spans="1:23" ht="217" customHeight="1">
      <c r="A171" s="138">
        <v>1</v>
      </c>
      <c r="B171" s="66"/>
      <c r="C171" s="114" t="s">
        <v>307</v>
      </c>
      <c r="D171" s="115" t="str">
        <f>T171</f>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E171" s="6" t="str">
        <f t="shared" si="15"/>
        <v>Reglement und Visitation</v>
      </c>
      <c r="R171" s="1940" t="s">
        <v>2148</v>
      </c>
      <c r="S171" s="1980" t="s">
        <v>2149</v>
      </c>
      <c r="T171" s="383" t="str">
        <f t="shared" si="12"/>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U171" s="208" t="s">
        <v>86</v>
      </c>
      <c r="V171" s="333" t="s">
        <v>602</v>
      </c>
      <c r="W171" s="383" t="str">
        <f t="shared" si="13"/>
        <v>Reglement und Visitation</v>
      </c>
    </row>
    <row r="172" spans="1:23" ht="16">
      <c r="A172" s="33"/>
      <c r="B172" s="67"/>
      <c r="C172" s="134"/>
      <c r="D172" s="514" t="str">
        <f t="shared" si="14"/>
        <v>Pflegeberechnung:     siehe Excel-Blatt "ETP-FTE"</v>
      </c>
      <c r="E172" s="6" t="str">
        <f t="shared" si="15"/>
        <v/>
      </c>
      <c r="R172" s="216" t="s">
        <v>714</v>
      </c>
      <c r="S172" s="341" t="s">
        <v>715</v>
      </c>
      <c r="T172" s="383" t="str">
        <f t="shared" si="12"/>
        <v>Pflegeberechnung:     siehe Excel-Blatt "ETP-FTE"</v>
      </c>
      <c r="U172" s="208"/>
      <c r="V172" s="333"/>
      <c r="W172" s="383" t="str">
        <f t="shared" si="13"/>
        <v/>
      </c>
    </row>
    <row r="173" spans="1:23" ht="56">
      <c r="A173" s="138">
        <v>1</v>
      </c>
      <c r="B173" s="66"/>
      <c r="C173" s="114" t="s">
        <v>308</v>
      </c>
      <c r="D173" s="115" t="str">
        <f t="shared" si="14"/>
        <v>Die nicht patientengebundene Arbeit, die durch die Pflegekader oder andere Angehörige des Pflegeteams der IS erbracht wird, ist in den obigen Zahlen nicht enthalten. Der Anteil der nicht patientengebundenen Arbeit bei allen Kadern muss ausgewiesen werden.</v>
      </c>
      <c r="E173" s="6" t="str">
        <f t="shared" si="15"/>
        <v>Reglement und Visitation</v>
      </c>
      <c r="R173" s="207" t="s">
        <v>112</v>
      </c>
      <c r="S173" s="332" t="s">
        <v>610</v>
      </c>
      <c r="T173" s="383" t="str">
        <f t="shared" si="12"/>
        <v>Die nicht patientengebundene Arbeit, die durch die Pflegekader oder andere Angehörige des Pflegeteams der IS erbracht wird, ist in den obigen Zahlen nicht enthalten. Der Anteil der nicht patientengebundenen Arbeit bei allen Kadern muss ausgewiesen werden.</v>
      </c>
      <c r="U173" s="208" t="s">
        <v>86</v>
      </c>
      <c r="V173" s="333" t="s">
        <v>602</v>
      </c>
      <c r="W173" s="383" t="str">
        <f t="shared" si="13"/>
        <v>Reglement und Visitation</v>
      </c>
    </row>
    <row r="174" spans="1:23" ht="56">
      <c r="A174" s="138">
        <v>1</v>
      </c>
      <c r="B174" s="66"/>
      <c r="C174" s="114" t="s">
        <v>309</v>
      </c>
      <c r="D174" s="115" t="str">
        <f t="shared" si="14"/>
        <v>Alle im Instruktionsdienst tätigen Pflegepersonen zählen nur für ihre Tätigkeit in der direkten Pflege am Bett zu den oben genannten Zahlen. Das geplante Verhältnis muss ausgewiesen werden.</v>
      </c>
      <c r="E174" s="6" t="str">
        <f t="shared" ref="E174:E226" si="16">W174</f>
        <v>Reglement und Visitation</v>
      </c>
      <c r="R174" s="207" t="s">
        <v>113</v>
      </c>
      <c r="S174" s="332" t="s">
        <v>611</v>
      </c>
      <c r="T174" s="383" t="str">
        <f t="shared" si="12"/>
        <v>Alle im Instruktionsdienst tätigen Pflegepersonen zählen nur für ihre Tätigkeit in der direkten Pflege am Bett zu den oben genannten Zahlen. Das geplante Verhältnis muss ausgewiesen werden.</v>
      </c>
      <c r="U174" s="208" t="s">
        <v>86</v>
      </c>
      <c r="V174" s="333" t="s">
        <v>602</v>
      </c>
      <c r="W174" s="383" t="str">
        <f t="shared" si="13"/>
        <v>Reglement und Visitation</v>
      </c>
    </row>
    <row r="175" spans="1:23" ht="70" customHeight="1">
      <c r="A175" s="138">
        <v>1</v>
      </c>
      <c r="B175" s="66"/>
      <c r="C175" s="114" t="s">
        <v>310</v>
      </c>
      <c r="D175" s="115" t="str">
        <f t="shared" si="14"/>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E175" s="6" t="str">
        <f t="shared" si="16"/>
        <v>Reglement und Visitation</v>
      </c>
      <c r="R175" s="1942" t="s">
        <v>2018</v>
      </c>
      <c r="S175" s="332" t="s">
        <v>2022</v>
      </c>
      <c r="T175" s="383" t="str">
        <f t="shared" si="12"/>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U175" s="208" t="s">
        <v>86</v>
      </c>
      <c r="V175" s="333" t="s">
        <v>602</v>
      </c>
      <c r="W175" s="383" t="str">
        <f t="shared" si="13"/>
        <v>Reglement und Visitation</v>
      </c>
    </row>
    <row r="176" spans="1:23" ht="17">
      <c r="A176" s="33"/>
      <c r="B176" s="67"/>
      <c r="C176" s="134" t="s">
        <v>312</v>
      </c>
      <c r="D176" s="11" t="str">
        <f t="shared" si="14"/>
        <v>Qualifikation</v>
      </c>
      <c r="E176" s="32" t="str">
        <f t="shared" si="16"/>
        <v/>
      </c>
      <c r="R176" s="338" t="s">
        <v>114</v>
      </c>
      <c r="S176" s="338" t="s">
        <v>612</v>
      </c>
      <c r="T176" s="383" t="str">
        <f t="shared" si="12"/>
        <v>Qualifikation</v>
      </c>
      <c r="U176" s="226"/>
      <c r="V176" s="351"/>
      <c r="W176" s="383" t="str">
        <f t="shared" si="13"/>
        <v/>
      </c>
    </row>
    <row r="177" spans="1:23" ht="56">
      <c r="A177" s="138">
        <v>1</v>
      </c>
      <c r="B177" s="66"/>
      <c r="C177" s="114" t="s">
        <v>313</v>
      </c>
      <c r="D177" s="115" t="str">
        <f t="shared" si="14"/>
        <v>Mindestens ein Drittel der verlangten, minimalen Vollzeitstellenprozente des Pflegepersonals muss über das Diplom Experte in Intensivpflege NDS HF oder eine gleichwertige Ausbildung verfügen. Über die Gleichwertigkeit entscheidet der Vorstand der SGI.</v>
      </c>
      <c r="E177" s="6" t="str">
        <f t="shared" si="16"/>
        <v>Reglement und Visitation</v>
      </c>
      <c r="R177" s="215" t="s">
        <v>716</v>
      </c>
      <c r="S177" s="340" t="s">
        <v>613</v>
      </c>
      <c r="T177" s="383" t="str">
        <f t="shared" si="12"/>
        <v>Mindestens ein Drittel der verlangten, minimalen Vollzeitstellenprozente des Pflegepersonals muss über das Diplom Experte in Intensivpflege NDS HF oder eine gleichwertige Ausbildung verfügen. Über die Gleichwertigkeit entscheidet der Vorstand der SGI.</v>
      </c>
      <c r="U177" s="208" t="s">
        <v>86</v>
      </c>
      <c r="V177" s="333" t="s">
        <v>602</v>
      </c>
      <c r="W177" s="383" t="str">
        <f t="shared" si="13"/>
        <v>Reglement und Visitation</v>
      </c>
    </row>
    <row r="178" spans="1:23" ht="84">
      <c r="A178" s="138">
        <v>1</v>
      </c>
      <c r="B178" s="66"/>
      <c r="C178" s="114" t="s">
        <v>314</v>
      </c>
      <c r="D178" s="115" t="str">
        <f t="shared" si="14"/>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E178" s="6" t="str">
        <f t="shared" si="16"/>
        <v>Reglement und Visitation</v>
      </c>
      <c r="R178" s="207" t="s">
        <v>115</v>
      </c>
      <c r="S178" s="332" t="s">
        <v>614</v>
      </c>
      <c r="T178" s="383" t="str">
        <f t="shared" si="12"/>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U178" s="208" t="s">
        <v>86</v>
      </c>
      <c r="V178" s="333" t="s">
        <v>602</v>
      </c>
      <c r="W178" s="383" t="str">
        <f t="shared" si="13"/>
        <v>Reglement und Visitation</v>
      </c>
    </row>
    <row r="179" spans="1:23" ht="56">
      <c r="A179" s="138">
        <v>1</v>
      </c>
      <c r="B179" s="66"/>
      <c r="C179" s="114" t="s">
        <v>315</v>
      </c>
      <c r="D179" s="115" t="str">
        <f t="shared" si="14"/>
        <v>Werden Fachangestellte Gesundheit (FaGe) in der IS eingesetzt, darf ihr Stellenanteil 5% des Gesamtbedarfs an Pflegestellen nicht überschreiten. Sind mehr als 5% FaGe angestellt, wird der Anteil &gt;5% der Gruppe Hilfspersonal zugeordnet.</v>
      </c>
      <c r="E179" s="6" t="str">
        <f t="shared" si="16"/>
        <v>Reglement und Visitation</v>
      </c>
      <c r="R179" s="207" t="s">
        <v>116</v>
      </c>
      <c r="S179" s="332" t="s">
        <v>615</v>
      </c>
      <c r="T179" s="383" t="str">
        <f t="shared" si="12"/>
        <v>Werden Fachangestellte Gesundheit (FaGe) in der IS eingesetzt, darf ihr Stellenanteil 5% des Gesamtbedarfs an Pflegestellen nicht überschreiten. Sind mehr als 5% FaGe angestellt, wird der Anteil &gt;5% der Gruppe Hilfspersonal zugeordnet.</v>
      </c>
      <c r="U179" s="208" t="s">
        <v>86</v>
      </c>
      <c r="V179" s="333" t="s">
        <v>602</v>
      </c>
      <c r="W179" s="383" t="str">
        <f t="shared" si="13"/>
        <v>Reglement und Visitation</v>
      </c>
    </row>
    <row r="180" spans="1:23" ht="14">
      <c r="A180" s="14"/>
      <c r="B180" s="66"/>
      <c r="C180" s="89">
        <v>4.3</v>
      </c>
      <c r="D180" s="14" t="str">
        <f t="shared" si="14"/>
        <v>Physiotherapie, Ergotherapie und Logopädie</v>
      </c>
      <c r="E180" s="35" t="str">
        <f t="shared" si="16"/>
        <v/>
      </c>
      <c r="R180" s="211" t="s">
        <v>117</v>
      </c>
      <c r="S180" s="336" t="s">
        <v>616</v>
      </c>
      <c r="T180" s="383" t="str">
        <f t="shared" si="12"/>
        <v>Physiotherapie, Ergotherapie und Logopädie</v>
      </c>
      <c r="U180" s="211"/>
      <c r="V180" s="336"/>
      <c r="W180" s="383" t="str">
        <f t="shared" si="13"/>
        <v/>
      </c>
    </row>
    <row r="181" spans="1:23" ht="28">
      <c r="A181" s="138">
        <v>1</v>
      </c>
      <c r="B181" s="77"/>
      <c r="C181" s="114" t="s">
        <v>271</v>
      </c>
      <c r="D181" s="5" t="str">
        <f t="shared" si="14"/>
        <v xml:space="preserve">Die IS soll täglich auf Anforderung Physiotherapiedienstleistungen in Anspruch nehmen können. </v>
      </c>
      <c r="E181" s="6" t="str">
        <f t="shared" si="16"/>
        <v>Reglement und Visitation</v>
      </c>
      <c r="R181" s="207" t="s">
        <v>717</v>
      </c>
      <c r="S181" s="332" t="s">
        <v>617</v>
      </c>
      <c r="T181" s="383" t="str">
        <f t="shared" si="12"/>
        <v xml:space="preserve">Die IS soll täglich auf Anforderung Physiotherapiedienstleistungen in Anspruch nehmen können. </v>
      </c>
      <c r="U181" s="208" t="s">
        <v>86</v>
      </c>
      <c r="V181" s="333" t="s">
        <v>602</v>
      </c>
      <c r="W181" s="383" t="str">
        <f t="shared" si="13"/>
        <v>Reglement und Visitation</v>
      </c>
    </row>
    <row r="182" spans="1:23" ht="33">
      <c r="A182" s="98"/>
      <c r="B182" s="65" t="s">
        <v>335</v>
      </c>
      <c r="C182" s="114" t="s">
        <v>272</v>
      </c>
      <c r="D182" s="115" t="str">
        <f t="shared" si="14"/>
        <v>Je nach Patientengut muss eine IS Zugriff auf ergotherapeutische und logopädische Fachkompetenz nachweisen können.</v>
      </c>
      <c r="E182" s="6" t="str">
        <f t="shared" si="16"/>
        <v>Reglement und Visitation</v>
      </c>
      <c r="R182" s="207" t="s">
        <v>118</v>
      </c>
      <c r="S182" s="332" t="s">
        <v>618</v>
      </c>
      <c r="T182" s="383" t="str">
        <f t="shared" si="12"/>
        <v>Je nach Patientengut muss eine IS Zugriff auf ergotherapeutische und logopädische Fachkompetenz nachweisen können.</v>
      </c>
      <c r="U182" s="208" t="s">
        <v>86</v>
      </c>
      <c r="V182" s="333" t="s">
        <v>602</v>
      </c>
      <c r="W182" s="383" t="str">
        <f t="shared" si="13"/>
        <v>Reglement und Visitation</v>
      </c>
    </row>
    <row r="183" spans="1:23" ht="17">
      <c r="A183" s="14"/>
      <c r="B183" s="77"/>
      <c r="C183" s="87">
        <v>4.4000000000000004</v>
      </c>
      <c r="D183" s="9" t="str">
        <f t="shared" si="14"/>
        <v>Hilfspersonal</v>
      </c>
      <c r="E183" s="32" t="str">
        <f t="shared" si="16"/>
        <v/>
      </c>
      <c r="R183" s="211" t="s">
        <v>119</v>
      </c>
      <c r="S183" s="336" t="s">
        <v>619</v>
      </c>
      <c r="T183" s="383" t="str">
        <f t="shared" si="12"/>
        <v>Hilfspersonal</v>
      </c>
      <c r="U183" s="226"/>
      <c r="V183" s="351"/>
      <c r="W183" s="383" t="str">
        <f t="shared" si="13"/>
        <v/>
      </c>
    </row>
    <row r="184" spans="1:23" ht="112">
      <c r="A184" s="98"/>
      <c r="B184" s="65" t="s">
        <v>335</v>
      </c>
      <c r="C184" s="114" t="s">
        <v>273</v>
      </c>
      <c r="D184" s="5" t="str">
        <f t="shared" si="14"/>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E184" s="6" t="str">
        <f t="shared" si="16"/>
        <v>Reglement und Visitation</v>
      </c>
      <c r="R184" s="207" t="s">
        <v>350</v>
      </c>
      <c r="S184" s="332" t="s">
        <v>620</v>
      </c>
      <c r="T184" s="383" t="str">
        <f t="shared" si="12"/>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U184" s="208" t="s">
        <v>86</v>
      </c>
      <c r="V184" s="333" t="s">
        <v>602</v>
      </c>
      <c r="W184" s="383" t="str">
        <f t="shared" si="13"/>
        <v>Reglement und Visitation</v>
      </c>
    </row>
    <row r="185" spans="1:23" ht="17">
      <c r="A185" s="33"/>
      <c r="B185" s="77"/>
      <c r="C185" s="87" t="s">
        <v>120</v>
      </c>
      <c r="D185" s="9" t="str">
        <f t="shared" si="14"/>
        <v>Technisches Personal</v>
      </c>
      <c r="E185" s="32" t="str">
        <f t="shared" si="16"/>
        <v/>
      </c>
      <c r="R185" s="211" t="s">
        <v>121</v>
      </c>
      <c r="S185" s="336" t="s">
        <v>621</v>
      </c>
      <c r="T185" s="383" t="str">
        <f t="shared" si="12"/>
        <v>Technisches Personal</v>
      </c>
      <c r="U185" s="226"/>
      <c r="V185" s="351"/>
      <c r="W185" s="383" t="str">
        <f t="shared" si="13"/>
        <v/>
      </c>
    </row>
    <row r="186" spans="1:23" ht="98">
      <c r="A186" s="98"/>
      <c r="B186" s="65" t="s">
        <v>335</v>
      </c>
      <c r="C186" s="114" t="s">
        <v>274</v>
      </c>
      <c r="D186" s="5" t="str">
        <f t="shared" si="14"/>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E186" s="6" t="str">
        <f t="shared" si="16"/>
        <v>Reglement und Visitation</v>
      </c>
      <c r="R186" s="207" t="s">
        <v>122</v>
      </c>
      <c r="S186" s="332" t="s">
        <v>622</v>
      </c>
      <c r="T186" s="383" t="str">
        <f t="shared" si="12"/>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U186" s="208" t="s">
        <v>86</v>
      </c>
      <c r="V186" s="333" t="s">
        <v>602</v>
      </c>
      <c r="W186" s="383" t="str">
        <f t="shared" si="13"/>
        <v>Reglement und Visitation</v>
      </c>
    </row>
    <row r="187" spans="1:23" ht="17">
      <c r="A187" s="9"/>
      <c r="B187" s="68"/>
      <c r="C187" s="87">
        <v>4.5999999999999996</v>
      </c>
      <c r="D187" s="9" t="str">
        <f t="shared" si="14"/>
        <v>Sekretariat</v>
      </c>
      <c r="E187" s="32" t="str">
        <f t="shared" si="16"/>
        <v/>
      </c>
      <c r="R187" s="211" t="s">
        <v>123</v>
      </c>
      <c r="S187" s="336" t="s">
        <v>623</v>
      </c>
      <c r="T187" s="383" t="str">
        <f t="shared" si="12"/>
        <v>Sekretariat</v>
      </c>
      <c r="U187" s="226"/>
      <c r="V187" s="351"/>
      <c r="W187" s="383" t="str">
        <f t="shared" si="13"/>
        <v/>
      </c>
    </row>
    <row r="188" spans="1:23" ht="42">
      <c r="A188" s="140">
        <v>1</v>
      </c>
      <c r="B188" s="77"/>
      <c r="C188" s="114" t="s">
        <v>275</v>
      </c>
      <c r="D188" s="15" t="str">
        <f t="shared" si="14"/>
        <v>Pro 6 Betten mindestens 50%-Vollzeitäquivalent (bei aoIS 30% entsprechend den reduzierten Leistungszahlen).</v>
      </c>
      <c r="E188" s="6" t="str">
        <f t="shared" si="16"/>
        <v>Reglement und Visitation</v>
      </c>
      <c r="R188" s="208" t="s">
        <v>124</v>
      </c>
      <c r="S188" s="333" t="s">
        <v>624</v>
      </c>
      <c r="T188" s="383" t="str">
        <f t="shared" si="12"/>
        <v>Pro 6 Betten mindestens 50%-Vollzeitäquivalent (bei aoIS 30% entsprechend den reduzierten Leistungszahlen).</v>
      </c>
      <c r="U188" s="208" t="s">
        <v>86</v>
      </c>
      <c r="V188" s="333" t="s">
        <v>602</v>
      </c>
      <c r="W188" s="383" t="str">
        <f t="shared" si="13"/>
        <v>Reglement und Visitation</v>
      </c>
    </row>
    <row r="189" spans="1:23" s="23" customFormat="1" ht="17">
      <c r="A189" s="102"/>
      <c r="B189" s="76"/>
      <c r="C189" s="88">
        <v>5</v>
      </c>
      <c r="D189" s="16" t="str">
        <f t="shared" si="14"/>
        <v>Diagnostik und Monitoring</v>
      </c>
      <c r="E189" s="36" t="str">
        <f t="shared" si="16"/>
        <v/>
      </c>
      <c r="R189" s="205" t="s">
        <v>125</v>
      </c>
      <c r="S189" s="330" t="s">
        <v>625</v>
      </c>
      <c r="T189" s="383" t="str">
        <f t="shared" si="12"/>
        <v>Diagnostik und Monitoring</v>
      </c>
      <c r="U189" s="228"/>
      <c r="V189" s="353"/>
      <c r="W189" s="383" t="str">
        <f t="shared" si="13"/>
        <v/>
      </c>
    </row>
    <row r="190" spans="1:23" ht="14">
      <c r="A190" s="9"/>
      <c r="B190" s="70"/>
      <c r="C190" s="87">
        <v>5.0999999999999996</v>
      </c>
      <c r="D190" s="9" t="str">
        <f t="shared" si="14"/>
        <v>Laboruntersuchungen</v>
      </c>
      <c r="E190" s="9" t="str">
        <f t="shared" si="16"/>
        <v/>
      </c>
      <c r="R190" s="211" t="s">
        <v>126</v>
      </c>
      <c r="S190" s="336" t="s">
        <v>626</v>
      </c>
      <c r="T190" s="383" t="str">
        <f t="shared" si="12"/>
        <v>Laboruntersuchungen</v>
      </c>
      <c r="U190" s="211"/>
      <c r="V190" s="336"/>
      <c r="W190" s="383" t="str">
        <f t="shared" si="13"/>
        <v/>
      </c>
    </row>
    <row r="191" spans="1:23" ht="14">
      <c r="A191" s="140">
        <v>1</v>
      </c>
      <c r="B191" s="75"/>
      <c r="C191" s="114" t="s">
        <v>276</v>
      </c>
      <c r="D191" s="6" t="str">
        <f t="shared" si="14"/>
        <v>Ein Notfalllabor muss rund um die Uhr verfügbar sein.</v>
      </c>
      <c r="E191" s="6" t="str">
        <f t="shared" si="16"/>
        <v>Visitation</v>
      </c>
      <c r="R191" s="208" t="s">
        <v>127</v>
      </c>
      <c r="S191" s="333" t="s">
        <v>627</v>
      </c>
      <c r="T191" s="383" t="str">
        <f t="shared" si="12"/>
        <v>Ein Notfalllabor muss rund um die Uhr verfügbar sein.</v>
      </c>
      <c r="U191" s="208" t="s">
        <v>3</v>
      </c>
      <c r="V191" s="333" t="s">
        <v>480</v>
      </c>
      <c r="W191" s="383" t="str">
        <f t="shared" si="13"/>
        <v>Visitation</v>
      </c>
    </row>
    <row r="192" spans="1:23" ht="42">
      <c r="A192" s="138">
        <v>1</v>
      </c>
      <c r="B192" s="72"/>
      <c r="C192" s="114" t="s">
        <v>277</v>
      </c>
      <c r="D192" s="115" t="str">
        <f t="shared" si="14"/>
        <v xml:space="preserve">Sämtliche für die Behandlung der jeweiligen Patienten Laborleistungen (Chemie, Hämatologie) müssen entweder intern oder extern und zeitgerecht verfügbar sein. </v>
      </c>
      <c r="E192" s="6" t="str">
        <f t="shared" si="16"/>
        <v>Visitation</v>
      </c>
      <c r="R192" s="207" t="s">
        <v>128</v>
      </c>
      <c r="S192" s="332" t="s">
        <v>628</v>
      </c>
      <c r="T192" s="383" t="str">
        <f t="shared" si="12"/>
        <v xml:space="preserve">Sämtliche für die Behandlung der jeweiligen Patienten Laborleistungen (Chemie, Hämatologie) müssen entweder intern oder extern und zeitgerecht verfügbar sein. </v>
      </c>
      <c r="U192" s="208" t="s">
        <v>3</v>
      </c>
      <c r="V192" s="333" t="s">
        <v>480</v>
      </c>
      <c r="W192" s="383" t="str">
        <f t="shared" si="13"/>
        <v>Visitation</v>
      </c>
    </row>
    <row r="193" spans="1:23" ht="44">
      <c r="A193" s="138">
        <v>1</v>
      </c>
      <c r="B193" s="72"/>
      <c r="C193" s="114" t="s">
        <v>278</v>
      </c>
      <c r="D193" s="115" t="str">
        <f t="shared" si="14"/>
        <v>Mikrobiologische Untersuchungen inklusive Antibiotikaresistenzprüfungen, sowie Serologien und Virennachweise müssen intern oder extern zeitgerecht zur Verfügung stehen.</v>
      </c>
      <c r="E193" s="6" t="str">
        <f t="shared" si="16"/>
        <v>Visitation</v>
      </c>
      <c r="R193" s="207" t="s">
        <v>129</v>
      </c>
      <c r="S193" s="332" t="s">
        <v>629</v>
      </c>
      <c r="T193" s="383" t="str">
        <f t="shared" si="12"/>
        <v>Mikrobiologische Untersuchungen inklusive Antibiotikaresistenzprüfungen, sowie Serologien und Virennachweise müssen intern oder extern zeitgerecht zur Verfügung stehen.</v>
      </c>
      <c r="U193" s="208" t="s">
        <v>3</v>
      </c>
      <c r="V193" s="333" t="s">
        <v>480</v>
      </c>
      <c r="W193" s="383" t="str">
        <f t="shared" si="13"/>
        <v>Visitation</v>
      </c>
    </row>
    <row r="194" spans="1:23" ht="56">
      <c r="A194" s="138">
        <v>1</v>
      </c>
      <c r="B194" s="72"/>
      <c r="C194" s="114" t="s">
        <v>279</v>
      </c>
      <c r="D194" s="115" t="str">
        <f t="shared" si="14"/>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E194" s="6" t="str">
        <f t="shared" si="16"/>
        <v>Visitation</v>
      </c>
      <c r="R194" s="207" t="s">
        <v>130</v>
      </c>
      <c r="S194" s="332" t="s">
        <v>630</v>
      </c>
      <c r="T194" s="383" t="str">
        <f t="shared" si="12"/>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U194" s="208" t="s">
        <v>3</v>
      </c>
      <c r="V194" s="333" t="s">
        <v>480</v>
      </c>
      <c r="W194" s="383" t="str">
        <f t="shared" si="13"/>
        <v>Visitation</v>
      </c>
    </row>
    <row r="195" spans="1:23" ht="14">
      <c r="A195" s="9"/>
      <c r="B195" s="68"/>
      <c r="C195" s="87">
        <v>5.2</v>
      </c>
      <c r="D195" s="9" t="str">
        <f t="shared" si="14"/>
        <v>Radiologie</v>
      </c>
      <c r="E195" s="15" t="str">
        <f t="shared" si="16"/>
        <v>Visitation</v>
      </c>
      <c r="R195" s="211" t="s">
        <v>131</v>
      </c>
      <c r="S195" s="336" t="s">
        <v>131</v>
      </c>
      <c r="T195" s="383" t="str">
        <f t="shared" ref="T195:T255" si="17">IF(R195=0,"",IF($A$1="D",R195,S195))</f>
        <v>Radiologie</v>
      </c>
      <c r="U195" s="208" t="s">
        <v>3</v>
      </c>
      <c r="V195" s="333" t="s">
        <v>480</v>
      </c>
      <c r="W195" s="383" t="str">
        <f t="shared" ref="W195:W255" si="18">IF(U195=0,"",IF($A$1="D",U195,V195))</f>
        <v>Visitation</v>
      </c>
    </row>
    <row r="196" spans="1:23" ht="28">
      <c r="A196" s="138">
        <v>1</v>
      </c>
      <c r="B196" s="74"/>
      <c r="C196" s="87" t="s">
        <v>280</v>
      </c>
      <c r="D196" s="15" t="str">
        <f t="shared" si="14"/>
        <v>Konventionelle Röntgenaufnahmen von Thorax und Abdomen müssen auf der IS durchgeführt werden können.</v>
      </c>
      <c r="E196" s="6" t="str">
        <f t="shared" si="16"/>
        <v>Visitation</v>
      </c>
      <c r="R196" s="208" t="s">
        <v>132</v>
      </c>
      <c r="S196" s="333" t="s">
        <v>631</v>
      </c>
      <c r="T196" s="383" t="str">
        <f t="shared" si="17"/>
        <v>Konventionelle Röntgenaufnahmen von Thorax und Abdomen müssen auf der IS durchgeführt werden können.</v>
      </c>
      <c r="U196" s="208" t="s">
        <v>3</v>
      </c>
      <c r="V196" s="333" t="s">
        <v>480</v>
      </c>
      <c r="W196" s="383" t="str">
        <f t="shared" si="18"/>
        <v>Visitation</v>
      </c>
    </row>
    <row r="197" spans="1:23" ht="33">
      <c r="A197" s="138">
        <v>1</v>
      </c>
      <c r="B197" s="72"/>
      <c r="C197" s="87" t="s">
        <v>281</v>
      </c>
      <c r="D197" s="6" t="str">
        <f t="shared" si="14"/>
        <v>Ein Computertomograph muss innerhalb des Spitals kontinuierlich zur Verfügung stehen. Die Befundung der Computertomogramme muss sichergestellt sein.</v>
      </c>
      <c r="E197" s="6" t="str">
        <f t="shared" si="16"/>
        <v/>
      </c>
      <c r="R197" s="208" t="s">
        <v>133</v>
      </c>
      <c r="S197" s="333" t="s">
        <v>632</v>
      </c>
      <c r="T197" s="383" t="str">
        <f t="shared" si="17"/>
        <v>Ein Computertomograph muss innerhalb des Spitals kontinuierlich zur Verfügung stehen. Die Befundung der Computertomogramme muss sichergestellt sein.</v>
      </c>
      <c r="U197" s="208"/>
      <c r="V197" s="333" t="s">
        <v>480</v>
      </c>
      <c r="W197" s="383" t="str">
        <f t="shared" si="18"/>
        <v/>
      </c>
    </row>
    <row r="198" spans="1:23" ht="14">
      <c r="A198" s="9"/>
      <c r="B198" s="68"/>
      <c r="C198" s="87">
        <v>5.3</v>
      </c>
      <c r="D198" s="146" t="str">
        <f t="shared" si="14"/>
        <v>Weitere diagnostische Untersuchungen</v>
      </c>
      <c r="E198" s="9" t="str">
        <f t="shared" si="16"/>
        <v/>
      </c>
      <c r="R198" s="211" t="s">
        <v>347</v>
      </c>
      <c r="S198" s="336" t="s">
        <v>633</v>
      </c>
      <c r="T198" s="383" t="str">
        <f t="shared" si="17"/>
        <v>Weitere diagnostische Untersuchungen</v>
      </c>
      <c r="U198" s="211"/>
      <c r="V198" s="336"/>
      <c r="W198" s="383" t="str">
        <f t="shared" si="18"/>
        <v/>
      </c>
    </row>
    <row r="199" spans="1:23" ht="66">
      <c r="A199" s="138">
        <v>1</v>
      </c>
      <c r="B199" s="72"/>
      <c r="C199" s="87" t="s">
        <v>282</v>
      </c>
      <c r="D199" s="7" t="str">
        <f t="shared" si="14"/>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E199" s="6" t="str">
        <f t="shared" si="16"/>
        <v>Visitation</v>
      </c>
      <c r="R199" s="207" t="s">
        <v>351</v>
      </c>
      <c r="S199" s="332" t="s">
        <v>634</v>
      </c>
      <c r="T199" s="383" t="str">
        <f t="shared" si="17"/>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U199" s="208" t="s">
        <v>3</v>
      </c>
      <c r="V199" s="333" t="s">
        <v>480</v>
      </c>
      <c r="W199" s="383" t="str">
        <f t="shared" si="18"/>
        <v>Visitation</v>
      </c>
    </row>
    <row r="200" spans="1:23" ht="14">
      <c r="A200" s="9"/>
      <c r="B200" s="68"/>
      <c r="C200" s="87">
        <v>5.4</v>
      </c>
      <c r="D200" s="9" t="str">
        <f t="shared" si="14"/>
        <v>Notwendige Überwachungsgeräte (Monitoring)</v>
      </c>
      <c r="E200" s="9" t="str">
        <f t="shared" si="16"/>
        <v/>
      </c>
      <c r="R200" s="211" t="s">
        <v>134</v>
      </c>
      <c r="S200" s="336" t="s">
        <v>635</v>
      </c>
      <c r="T200" s="383" t="str">
        <f t="shared" si="17"/>
        <v>Notwendige Überwachungsgeräte (Monitoring)</v>
      </c>
      <c r="U200" s="211"/>
      <c r="V200" s="336"/>
      <c r="W200" s="383" t="str">
        <f t="shared" si="18"/>
        <v/>
      </c>
    </row>
    <row r="201" spans="1:23" ht="88">
      <c r="A201" s="138">
        <v>1</v>
      </c>
      <c r="B201" s="74"/>
      <c r="C201" s="87" t="s">
        <v>283</v>
      </c>
      <c r="D201" s="115" t="str">
        <f t="shared" si="14"/>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E201" s="15" t="str">
        <f t="shared" si="16"/>
        <v>Visitation</v>
      </c>
      <c r="R201" s="207" t="s">
        <v>718</v>
      </c>
      <c r="S201" s="332" t="s">
        <v>636</v>
      </c>
      <c r="T201" s="383" t="str">
        <f t="shared" si="17"/>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U201" s="208" t="s">
        <v>3</v>
      </c>
      <c r="V201" s="333" t="s">
        <v>480</v>
      </c>
      <c r="W201" s="383" t="str">
        <f t="shared" si="18"/>
        <v>Visitation</v>
      </c>
    </row>
    <row r="202" spans="1:23" ht="33">
      <c r="A202" s="138">
        <v>1</v>
      </c>
      <c r="B202" s="74"/>
      <c r="C202" s="87" t="s">
        <v>284</v>
      </c>
      <c r="D202" s="115" t="str">
        <f t="shared" si="14"/>
        <v>Die vorhandenen und eingesetzten Monitoringmethoden entsprechen generell dem Patientengut der Station in Art und Schweregrad der Erkrankung.</v>
      </c>
      <c r="E202" s="15" t="str">
        <f t="shared" si="16"/>
        <v>Visitation</v>
      </c>
      <c r="R202" s="207" t="s">
        <v>135</v>
      </c>
      <c r="S202" s="332" t="s">
        <v>637</v>
      </c>
      <c r="T202" s="383" t="str">
        <f t="shared" si="17"/>
        <v>Die vorhandenen und eingesetzten Monitoringmethoden entsprechen generell dem Patientengut der Station in Art und Schweregrad der Erkrankung.</v>
      </c>
      <c r="U202" s="208" t="s">
        <v>3</v>
      </c>
      <c r="V202" s="333" t="s">
        <v>480</v>
      </c>
      <c r="W202" s="383" t="str">
        <f t="shared" si="18"/>
        <v>Visitation</v>
      </c>
    </row>
    <row r="203" spans="1:23" ht="17">
      <c r="A203" s="103"/>
      <c r="B203" s="73"/>
      <c r="C203" s="86">
        <v>6</v>
      </c>
      <c r="D203" s="3" t="str">
        <f t="shared" si="14"/>
        <v>Notwendige Einrichtungen für Therapien</v>
      </c>
      <c r="E203" s="24" t="str">
        <f t="shared" si="16"/>
        <v/>
      </c>
      <c r="R203" s="205" t="s">
        <v>136</v>
      </c>
      <c r="S203" s="330" t="s">
        <v>638</v>
      </c>
      <c r="T203" s="383" t="str">
        <f t="shared" si="17"/>
        <v>Notwendige Einrichtungen für Therapien</v>
      </c>
      <c r="U203" s="229"/>
      <c r="V203" s="354"/>
      <c r="W203" s="383" t="str">
        <f t="shared" si="18"/>
        <v/>
      </c>
    </row>
    <row r="204" spans="1:23" ht="238">
      <c r="A204" s="138">
        <v>1</v>
      </c>
      <c r="B204" s="72"/>
      <c r="C204" s="114" t="s">
        <v>285</v>
      </c>
      <c r="D204" s="5" t="str">
        <f t="shared" si="14"/>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E204" s="10" t="str">
        <f t="shared" si="16"/>
        <v>Visitation</v>
      </c>
      <c r="R204" s="207" t="s">
        <v>2027</v>
      </c>
      <c r="S204" s="332" t="s">
        <v>2028</v>
      </c>
      <c r="T204" s="383" t="str">
        <f t="shared" si="17"/>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U204" s="208" t="s">
        <v>3</v>
      </c>
      <c r="V204" s="333" t="s">
        <v>480</v>
      </c>
      <c r="W204" s="383" t="str">
        <f t="shared" si="18"/>
        <v>Visitation</v>
      </c>
    </row>
    <row r="205" spans="1:23" ht="28">
      <c r="A205" s="138">
        <v>1</v>
      </c>
      <c r="B205" s="72"/>
      <c r="C205" s="114" t="s">
        <v>286</v>
      </c>
      <c r="D205" s="115" t="str">
        <f t="shared" si="14"/>
        <v>Die Anzahl und Art der Therapiegeräte entspricht dem Patientengut in Art und Schweregrad der Erkrankung.</v>
      </c>
      <c r="E205" s="32" t="str">
        <f t="shared" si="16"/>
        <v>Visitation</v>
      </c>
      <c r="R205" s="207" t="s">
        <v>137</v>
      </c>
      <c r="S205" s="332" t="s">
        <v>639</v>
      </c>
      <c r="T205" s="383" t="str">
        <f t="shared" si="17"/>
        <v>Die Anzahl und Art der Therapiegeräte entspricht dem Patientengut in Art und Schweregrad der Erkrankung.</v>
      </c>
      <c r="U205" s="226" t="s">
        <v>3</v>
      </c>
      <c r="V205" s="351" t="s">
        <v>480</v>
      </c>
      <c r="W205" s="383" t="str">
        <f t="shared" si="18"/>
        <v>Visitation</v>
      </c>
    </row>
    <row r="206" spans="1:23" s="25" customFormat="1" ht="17">
      <c r="A206" s="24"/>
      <c r="B206" s="71"/>
      <c r="C206" s="86">
        <v>7</v>
      </c>
      <c r="D206" s="3" t="str">
        <f t="shared" si="14"/>
        <v>Transporte</v>
      </c>
      <c r="E206" s="24" t="str">
        <f t="shared" si="16"/>
        <v/>
      </c>
      <c r="R206" s="205" t="s">
        <v>138</v>
      </c>
      <c r="S206" s="330" t="s">
        <v>640</v>
      </c>
      <c r="T206" s="382" t="str">
        <f t="shared" si="17"/>
        <v>Transporte</v>
      </c>
      <c r="U206" s="229"/>
      <c r="V206" s="354"/>
      <c r="W206" s="382" t="str">
        <f t="shared" si="18"/>
        <v/>
      </c>
    </row>
    <row r="207" spans="1:23" ht="17">
      <c r="A207" s="14"/>
      <c r="B207" s="70"/>
      <c r="C207" s="87">
        <v>7.1</v>
      </c>
      <c r="D207" s="9" t="str">
        <f t="shared" si="14"/>
        <v>Verlegung</v>
      </c>
      <c r="E207" s="32" t="str">
        <f t="shared" si="16"/>
        <v/>
      </c>
      <c r="R207" s="211" t="s">
        <v>139</v>
      </c>
      <c r="S207" s="336" t="s">
        <v>641</v>
      </c>
      <c r="T207" s="383" t="str">
        <f t="shared" si="17"/>
        <v>Verlegung</v>
      </c>
      <c r="U207" s="226"/>
      <c r="V207" s="351"/>
      <c r="W207" s="383" t="str">
        <f t="shared" si="18"/>
        <v/>
      </c>
    </row>
    <row r="208" spans="1:23" ht="56">
      <c r="A208" s="138">
        <v>1</v>
      </c>
      <c r="B208" s="72"/>
      <c r="C208" s="114" t="s">
        <v>287</v>
      </c>
      <c r="D208" s="5" t="str">
        <f t="shared" si="14"/>
        <v>Patienten, die auf der IS aus personellen, materiellen oder fachlichen Gründen nicht adäquat versorgt werden können, müssen innert nützlicher Frist und in möglichst stabilisiertem Zustand in entsprechend ausgerüstete Zentren verlegt werden.</v>
      </c>
      <c r="E208" s="10" t="str">
        <f t="shared" si="16"/>
        <v>Visitation</v>
      </c>
      <c r="R208" s="207" t="s">
        <v>140</v>
      </c>
      <c r="S208" s="332" t="s">
        <v>642</v>
      </c>
      <c r="T208" s="383" t="str">
        <f t="shared" si="17"/>
        <v>Patienten, die auf der IS aus personellen, materiellen oder fachlichen Gründen nicht adäquat versorgt werden können, müssen innert nützlicher Frist und in möglichst stabilisiertem Zustand in entsprechend ausgerüstete Zentren verlegt werden.</v>
      </c>
      <c r="U208" s="208" t="s">
        <v>3</v>
      </c>
      <c r="V208" s="333" t="s">
        <v>480</v>
      </c>
      <c r="W208" s="383" t="str">
        <f t="shared" si="18"/>
        <v>Visitation</v>
      </c>
    </row>
    <row r="209" spans="1:23" ht="17">
      <c r="A209" s="14"/>
      <c r="B209" s="68"/>
      <c r="C209" s="87">
        <v>7.2</v>
      </c>
      <c r="D209" s="9" t="str">
        <f t="shared" si="14"/>
        <v>Transportbegleitung</v>
      </c>
      <c r="E209" s="32" t="str">
        <f t="shared" si="16"/>
        <v/>
      </c>
      <c r="R209" s="211" t="s">
        <v>141</v>
      </c>
      <c r="S209" s="336" t="s">
        <v>643</v>
      </c>
      <c r="T209" s="383" t="str">
        <f t="shared" si="17"/>
        <v>Transportbegleitung</v>
      </c>
      <c r="U209" s="226"/>
      <c r="V209" s="351"/>
      <c r="W209" s="383" t="str">
        <f t="shared" si="18"/>
        <v/>
      </c>
    </row>
    <row r="210" spans="1:23" ht="44">
      <c r="A210" s="138">
        <v>1</v>
      </c>
      <c r="B210" s="72"/>
      <c r="C210" s="114" t="s">
        <v>288</v>
      </c>
      <c r="D210" s="5" t="str">
        <f t="shared" si="14"/>
        <v>Die Transportbegleitung muss durch qualifiziertes Personal mit entsprechender Ausbildung und Ausrüstung erfolgen, sodass jede Störung der Vitalfunktionen rechtzeitig erkannt und behandelt werden kann.</v>
      </c>
      <c r="E210" s="10" t="str">
        <f t="shared" si="16"/>
        <v>Visitation</v>
      </c>
      <c r="R210" s="207" t="s">
        <v>142</v>
      </c>
      <c r="S210" s="332" t="s">
        <v>644</v>
      </c>
      <c r="T210" s="383" t="str">
        <f t="shared" si="17"/>
        <v>Die Transportbegleitung muss durch qualifiziertes Personal mit entsprechender Ausbildung und Ausrüstung erfolgen, sodass jede Störung der Vitalfunktionen rechtzeitig erkannt und behandelt werden kann.</v>
      </c>
      <c r="U210" s="208" t="s">
        <v>3</v>
      </c>
      <c r="V210" s="333" t="s">
        <v>480</v>
      </c>
      <c r="W210" s="383" t="str">
        <f t="shared" si="18"/>
        <v>Visitation</v>
      </c>
    </row>
    <row r="211" spans="1:23" s="25" customFormat="1" ht="17">
      <c r="A211" s="3"/>
      <c r="B211" s="71"/>
      <c r="C211" s="86">
        <v>8</v>
      </c>
      <c r="D211" s="3" t="str">
        <f t="shared" si="14"/>
        <v>Lehre und Forschung</v>
      </c>
      <c r="E211" s="24" t="str">
        <f t="shared" si="16"/>
        <v/>
      </c>
      <c r="R211" s="205" t="s">
        <v>143</v>
      </c>
      <c r="S211" s="330" t="s">
        <v>645</v>
      </c>
      <c r="T211" s="382" t="str">
        <f t="shared" si="17"/>
        <v>Lehre und Forschung</v>
      </c>
      <c r="U211" s="229"/>
      <c r="V211" s="354"/>
      <c r="W211" s="382" t="str">
        <f t="shared" si="18"/>
        <v/>
      </c>
    </row>
    <row r="212" spans="1:23" ht="17">
      <c r="A212" s="14"/>
      <c r="B212" s="70"/>
      <c r="C212" s="87">
        <v>8.1</v>
      </c>
      <c r="D212" s="9" t="str">
        <f t="shared" si="14"/>
        <v>Fortbildung Pflege</v>
      </c>
      <c r="E212" s="32" t="str">
        <f t="shared" si="16"/>
        <v/>
      </c>
      <c r="R212" s="211" t="s">
        <v>144</v>
      </c>
      <c r="S212" s="336" t="s">
        <v>646</v>
      </c>
      <c r="T212" s="383" t="str">
        <f t="shared" si="17"/>
        <v>Fortbildung Pflege</v>
      </c>
      <c r="U212" s="226"/>
      <c r="V212" s="351"/>
      <c r="W212" s="383" t="str">
        <f t="shared" si="18"/>
        <v/>
      </c>
    </row>
    <row r="213" spans="1:23" ht="84">
      <c r="A213" s="138">
        <v>1</v>
      </c>
      <c r="B213" s="66"/>
      <c r="C213" s="114" t="s">
        <v>289</v>
      </c>
      <c r="D213" s="5" t="str">
        <f t="shared" si="14"/>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E213" s="10" t="str">
        <f t="shared" si="16"/>
        <v>Visitation, Dokument</v>
      </c>
      <c r="R213" s="207" t="s">
        <v>145</v>
      </c>
      <c r="S213" s="332" t="s">
        <v>647</v>
      </c>
      <c r="T213" s="383" t="str">
        <f t="shared" si="17"/>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U213" s="208" t="s">
        <v>146</v>
      </c>
      <c r="V213" s="333" t="s">
        <v>660</v>
      </c>
      <c r="W213" s="383" t="str">
        <f t="shared" si="18"/>
        <v>Visitation, Dokument</v>
      </c>
    </row>
    <row r="214" spans="1:23" ht="17">
      <c r="A214" s="14"/>
      <c r="B214" s="68"/>
      <c r="C214" s="87">
        <v>8.1999999999999993</v>
      </c>
      <c r="D214" s="9" t="str">
        <f t="shared" si="14"/>
        <v>Fortbildung Ärzte</v>
      </c>
      <c r="E214" s="32" t="str">
        <f t="shared" si="16"/>
        <v/>
      </c>
      <c r="R214" s="211" t="s">
        <v>147</v>
      </c>
      <c r="S214" s="336" t="s">
        <v>648</v>
      </c>
      <c r="T214" s="383" t="str">
        <f t="shared" si="17"/>
        <v>Fortbildung Ärzte</v>
      </c>
      <c r="U214" s="226"/>
      <c r="V214" s="351"/>
      <c r="W214" s="383" t="str">
        <f t="shared" si="18"/>
        <v/>
      </c>
    </row>
    <row r="215" spans="1:23" ht="56">
      <c r="A215" s="138">
        <v>1</v>
      </c>
      <c r="B215" s="66"/>
      <c r="C215" s="114" t="s">
        <v>290</v>
      </c>
      <c r="D215" s="5" t="str">
        <f t="shared" si="14"/>
        <v>Die Fortbildung der Ärzte mit FMH Intensivmedizin ist im Fortbildungsprogramm der SGI geregelt. Anerkannte Intensivstationen müssen ihrer Ärzteschaft diese Fortbildungsaktivitäten ermöglichen.</v>
      </c>
      <c r="E215" s="10" t="str">
        <f t="shared" si="16"/>
        <v>Visitation</v>
      </c>
      <c r="R215" s="207" t="s">
        <v>148</v>
      </c>
      <c r="S215" s="332" t="s">
        <v>649</v>
      </c>
      <c r="T215" s="383" t="str">
        <f t="shared" si="17"/>
        <v>Die Fortbildung der Ärzte mit FMH Intensivmedizin ist im Fortbildungsprogramm der SGI geregelt. Anerkannte Intensivstationen müssen ihrer Ärzteschaft diese Fortbildungsaktivitäten ermöglichen.</v>
      </c>
      <c r="U215" s="208" t="s">
        <v>3</v>
      </c>
      <c r="V215" s="333" t="s">
        <v>480</v>
      </c>
      <c r="W215" s="383" t="str">
        <f t="shared" si="18"/>
        <v>Visitation</v>
      </c>
    </row>
    <row r="216" spans="1:23" ht="17">
      <c r="A216" s="14"/>
      <c r="B216" s="68"/>
      <c r="C216" s="87">
        <v>8.3000000000000007</v>
      </c>
      <c r="D216" s="9" t="str">
        <f t="shared" ref="D216:D228" si="19">T216</f>
        <v>Andere ärztliche Weiterbildungsprogramme</v>
      </c>
      <c r="E216" s="32" t="str">
        <f t="shared" si="16"/>
        <v/>
      </c>
      <c r="R216" s="211" t="s">
        <v>149</v>
      </c>
      <c r="S216" s="336" t="s">
        <v>650</v>
      </c>
      <c r="T216" s="383" t="str">
        <f t="shared" si="17"/>
        <v>Andere ärztliche Weiterbildungsprogramme</v>
      </c>
      <c r="U216" s="226"/>
      <c r="V216" s="351"/>
      <c r="W216" s="383" t="str">
        <f t="shared" si="18"/>
        <v/>
      </c>
    </row>
    <row r="217" spans="1:23" ht="84">
      <c r="A217" s="138">
        <v>1</v>
      </c>
      <c r="B217" s="66"/>
      <c r="C217" s="114" t="s">
        <v>291</v>
      </c>
      <c r="D217" s="5" t="str">
        <f t="shared" si="19"/>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E217" s="10" t="str">
        <f t="shared" si="16"/>
        <v>Visitation, Dokument</v>
      </c>
      <c r="R217" s="207" t="s">
        <v>150</v>
      </c>
      <c r="S217" s="332" t="s">
        <v>651</v>
      </c>
      <c r="T217" s="383" t="str">
        <f t="shared" si="17"/>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U217" s="208" t="s">
        <v>146</v>
      </c>
      <c r="V217" s="333" t="s">
        <v>660</v>
      </c>
      <c r="W217" s="383" t="str">
        <f t="shared" si="18"/>
        <v>Visitation, Dokument</v>
      </c>
    </row>
    <row r="218" spans="1:23" ht="17">
      <c r="A218" s="14"/>
      <c r="B218" s="68"/>
      <c r="C218" s="87">
        <v>8.4</v>
      </c>
      <c r="D218" s="9" t="str">
        <f t="shared" si="19"/>
        <v>Forschung</v>
      </c>
      <c r="E218" s="32" t="str">
        <f t="shared" si="16"/>
        <v/>
      </c>
      <c r="R218" s="211" t="s">
        <v>151</v>
      </c>
      <c r="S218" s="336" t="s">
        <v>652</v>
      </c>
      <c r="T218" s="383" t="str">
        <f t="shared" si="17"/>
        <v>Forschung</v>
      </c>
      <c r="U218" s="226"/>
      <c r="V218" s="351"/>
      <c r="W218" s="383" t="str">
        <f t="shared" si="18"/>
        <v/>
      </c>
    </row>
    <row r="219" spans="1:23" ht="44">
      <c r="A219" s="98"/>
      <c r="B219" s="65" t="s">
        <v>335</v>
      </c>
      <c r="C219" s="114" t="s">
        <v>292</v>
      </c>
      <c r="D219" s="5" t="str">
        <f t="shared" si="19"/>
        <v>Die IS beteiligen sich angemessen an Forschungsvorhaben. Insbesondere nehmen sie auch im Rahmen ihrer Möglichkeiten an Forschungsprojekten teil, welche durch die SGI unterstützt werden.</v>
      </c>
      <c r="E219" s="33" t="str">
        <f t="shared" si="16"/>
        <v>Visitation</v>
      </c>
      <c r="R219" s="207" t="s">
        <v>152</v>
      </c>
      <c r="S219" s="332" t="s">
        <v>653</v>
      </c>
      <c r="T219" s="383" t="str">
        <f t="shared" si="17"/>
        <v>Die IS beteiligen sich angemessen an Forschungsvorhaben. Insbesondere nehmen sie auch im Rahmen ihrer Möglichkeiten an Forschungsprojekten teil, welche durch die SGI unterstützt werden.</v>
      </c>
      <c r="U219" s="226" t="s">
        <v>3</v>
      </c>
      <c r="V219" s="351" t="s">
        <v>480</v>
      </c>
      <c r="W219" s="383" t="str">
        <f t="shared" si="18"/>
        <v>Visitation</v>
      </c>
    </row>
    <row r="220" spans="1:23" ht="17">
      <c r="A220" s="104"/>
      <c r="B220" s="69"/>
      <c r="C220" s="86">
        <v>9</v>
      </c>
      <c r="D220" s="17" t="str">
        <f t="shared" si="19"/>
        <v>Weitere Vorgaben</v>
      </c>
      <c r="E220" s="37" t="str">
        <f t="shared" si="16"/>
        <v/>
      </c>
      <c r="R220" s="217" t="s">
        <v>153</v>
      </c>
      <c r="S220" s="342" t="s">
        <v>654</v>
      </c>
      <c r="T220" s="383" t="str">
        <f t="shared" si="17"/>
        <v>Weitere Vorgaben</v>
      </c>
      <c r="U220" s="208"/>
      <c r="V220" s="333"/>
      <c r="W220" s="383" t="str">
        <f t="shared" si="18"/>
        <v/>
      </c>
    </row>
    <row r="221" spans="1:23" ht="14">
      <c r="A221" s="105"/>
      <c r="B221" s="68"/>
      <c r="C221" s="85">
        <v>9.1</v>
      </c>
      <c r="D221" s="14" t="str">
        <f t="shared" si="19"/>
        <v>Gesetzliche Grundlagen</v>
      </c>
      <c r="E221" s="10" t="str">
        <f t="shared" si="16"/>
        <v/>
      </c>
      <c r="R221" s="211" t="s">
        <v>154</v>
      </c>
      <c r="S221" s="336" t="s">
        <v>655</v>
      </c>
      <c r="T221" s="383" t="str">
        <f t="shared" si="17"/>
        <v>Gesetzliche Grundlagen</v>
      </c>
      <c r="U221" s="208"/>
      <c r="V221" s="333"/>
      <c r="W221" s="383" t="str">
        <f t="shared" si="18"/>
        <v/>
      </c>
    </row>
    <row r="222" spans="1:23" ht="33">
      <c r="A222" s="106"/>
      <c r="B222" s="65" t="s">
        <v>335</v>
      </c>
      <c r="C222" s="114" t="s">
        <v>293</v>
      </c>
      <c r="D222" s="64" t="str">
        <f t="shared" si="19"/>
        <v xml:space="preserve">Die Station muss Methoden der Qualitätssicherung demonstrieren können (z.B. ein Critical Incident Reporting System [CIRS]). </v>
      </c>
      <c r="E222" s="38" t="str">
        <f t="shared" si="16"/>
        <v>Visitation</v>
      </c>
      <c r="R222" s="216" t="s">
        <v>155</v>
      </c>
      <c r="S222" s="341" t="s">
        <v>656</v>
      </c>
      <c r="T222" s="383" t="str">
        <f t="shared" si="17"/>
        <v xml:space="preserve">Die Station muss Methoden der Qualitätssicherung demonstrieren können (z.B. ein Critical Incident Reporting System [CIRS]). </v>
      </c>
      <c r="U222" s="222" t="s">
        <v>3</v>
      </c>
      <c r="V222" s="348" t="s">
        <v>480</v>
      </c>
      <c r="W222" s="383" t="str">
        <f t="shared" si="18"/>
        <v>Visitation</v>
      </c>
    </row>
    <row r="223" spans="1:23" ht="14">
      <c r="A223" s="105"/>
      <c r="B223" s="67"/>
      <c r="C223" s="85">
        <v>9.1999999999999993</v>
      </c>
      <c r="D223" s="14" t="str">
        <f t="shared" si="19"/>
        <v>Richtlinien und Evidence Based Medicine</v>
      </c>
      <c r="E223" s="28" t="str">
        <f t="shared" si="16"/>
        <v/>
      </c>
      <c r="R223" s="211" t="s">
        <v>156</v>
      </c>
      <c r="S223" s="336" t="s">
        <v>657</v>
      </c>
      <c r="T223" s="383" t="str">
        <f t="shared" si="17"/>
        <v>Richtlinien und Evidence Based Medicine</v>
      </c>
      <c r="U223" s="208"/>
      <c r="V223" s="333"/>
      <c r="W223" s="383" t="str">
        <f t="shared" si="18"/>
        <v/>
      </c>
    </row>
    <row r="224" spans="1:23" ht="45">
      <c r="A224" s="106"/>
      <c r="B224" s="65" t="s">
        <v>335</v>
      </c>
      <c r="C224" s="114" t="s">
        <v>294</v>
      </c>
      <c r="D224" s="64" t="str">
        <f t="shared" si="19"/>
        <v>Die IS beachtet die Prinzipien einer evidenzbasierten Medizin in ihren Behandlungskonzepten und anerkannte Richtlinien (z.B. der SGI oder SAMW). Es werden regelmässig Fallbesprechungen durchgeführt.</v>
      </c>
      <c r="E224" s="38" t="str">
        <f t="shared" si="16"/>
        <v>Visitation</v>
      </c>
      <c r="R224" s="216" t="s">
        <v>157</v>
      </c>
      <c r="S224" s="341" t="s">
        <v>853</v>
      </c>
      <c r="T224" s="383" t="str">
        <f t="shared" si="17"/>
        <v>Die IS beachtet die Prinzipien einer evidenzbasierten Medizin in ihren Behandlungskonzepten und anerkannte Richtlinien (z.B. der SGI oder SAMW). Es werden regelmässig Fallbesprechungen durchgeführt.</v>
      </c>
      <c r="U224" s="222" t="s">
        <v>3</v>
      </c>
      <c r="V224" s="348" t="s">
        <v>480</v>
      </c>
      <c r="W224" s="383" t="str">
        <f t="shared" si="18"/>
        <v>Visitation</v>
      </c>
    </row>
    <row r="225" spans="1:23" ht="14">
      <c r="A225" s="105"/>
      <c r="B225" s="66"/>
      <c r="C225" s="85">
        <v>9.3000000000000007</v>
      </c>
      <c r="D225" s="14" t="str">
        <f t="shared" si="19"/>
        <v xml:space="preserve">Ethik </v>
      </c>
      <c r="E225" s="28" t="str">
        <f t="shared" si="16"/>
        <v/>
      </c>
      <c r="R225" s="211" t="s">
        <v>158</v>
      </c>
      <c r="S225" s="336" t="s">
        <v>658</v>
      </c>
      <c r="T225" s="383" t="str">
        <f t="shared" si="17"/>
        <v xml:space="preserve">Ethik </v>
      </c>
      <c r="U225" s="208"/>
      <c r="V225" s="333"/>
      <c r="W225" s="383" t="str">
        <f t="shared" si="18"/>
        <v/>
      </c>
    </row>
    <row r="226" spans="1:23" ht="22">
      <c r="A226" s="107"/>
      <c r="B226" s="65" t="s">
        <v>335</v>
      </c>
      <c r="C226" s="114" t="s">
        <v>295</v>
      </c>
      <c r="D226" s="64" t="str">
        <f t="shared" si="19"/>
        <v>Die IS verfügt über ein Konzept über ethische Entscheidungsfindung.</v>
      </c>
      <c r="E226" s="38" t="str">
        <f t="shared" si="16"/>
        <v>Visitation, Dokument</v>
      </c>
      <c r="R226" s="216" t="s">
        <v>159</v>
      </c>
      <c r="S226" s="341" t="s">
        <v>659</v>
      </c>
      <c r="T226" s="383" t="str">
        <f t="shared" si="17"/>
        <v>Die IS verfügt über ein Konzept über ethische Entscheidungsfindung.</v>
      </c>
      <c r="U226" s="222" t="s">
        <v>146</v>
      </c>
      <c r="V226" s="348" t="s">
        <v>660</v>
      </c>
      <c r="W226" s="383" t="str">
        <f t="shared" si="18"/>
        <v>Visitation, Dokument</v>
      </c>
    </row>
    <row r="227" spans="1:23">
      <c r="T227" s="385" t="str">
        <f t="shared" si="17"/>
        <v/>
      </c>
      <c r="W227" s="385" t="str">
        <f t="shared" si="18"/>
        <v/>
      </c>
    </row>
    <row r="228" spans="1:23" ht="28">
      <c r="A228" s="105"/>
      <c r="B228" s="66"/>
      <c r="C228" s="85" t="s">
        <v>2116</v>
      </c>
      <c r="D228" s="14" t="str">
        <f t="shared" si="19"/>
        <v>Regelung bezüglich Geltung der Versionen und Übergangsfristen</v>
      </c>
      <c r="E228" s="28"/>
      <c r="R228" s="211" t="s">
        <v>2111</v>
      </c>
      <c r="S228" s="336" t="s">
        <v>2122</v>
      </c>
      <c r="T228" s="383" t="str">
        <f t="shared" si="17"/>
        <v>Regelung bezüglich Geltung der Versionen und Übergangsfristen</v>
      </c>
      <c r="U228" s="208"/>
      <c r="V228" s="333"/>
      <c r="W228" s="383"/>
    </row>
    <row r="229" spans="1:23" ht="60">
      <c r="A229" s="107"/>
      <c r="B229" s="1973" t="s">
        <v>1725</v>
      </c>
      <c r="C229" s="114" t="s">
        <v>2117</v>
      </c>
      <c r="D229" s="64" t="str">
        <f t="shared" ref="D229:D231" si="20">T229</f>
        <v>Massgebend im Zertifizierungsprozess bis zu dessen Abschluss ist immer die Version der Qualitätskriterien, welche zum Zeitpunkt der Bestätigung über die vollständige Eingabe der Zertifizierungsunterlagen gemäss Richtlinien in Kraft war.</v>
      </c>
      <c r="E229" s="38"/>
      <c r="R229" s="216" t="s">
        <v>2112</v>
      </c>
      <c r="S229" s="341" t="s">
        <v>2123</v>
      </c>
      <c r="T229" s="383" t="str">
        <f t="shared" si="17"/>
        <v>Massgebend im Zertifizierungsprozess bis zu dessen Abschluss ist immer die Version der Qualitätskriterien, welche zum Zeitpunkt der Bestätigung über die vollständige Eingabe der Zertifizierungsunterlagen gemäss Richtlinien in Kraft war.</v>
      </c>
      <c r="U229" s="222"/>
      <c r="V229" s="348"/>
      <c r="W229" s="383"/>
    </row>
    <row r="230" spans="1:23" ht="60">
      <c r="B230" s="1973"/>
      <c r="C230" s="114" t="s">
        <v>2118</v>
      </c>
      <c r="D230" s="64" t="str">
        <f t="shared" si="20"/>
        <v>Für alle inhaltlichen Veränderungen kann sich eine Station auf eine 12 monatliche Übergangsfrist vom Zeitpunkt der Inkraftsetzung durch den Vorstand bis zur Bestätigung der Eingabe des vollständigen Zertifizierungsdossiers berufen.</v>
      </c>
      <c r="E230" s="38"/>
      <c r="R230" s="216" t="s">
        <v>2113</v>
      </c>
      <c r="S230" s="313" t="s">
        <v>2124</v>
      </c>
      <c r="T230" s="383" t="str">
        <f t="shared" si="17"/>
        <v>Für alle inhaltlichen Veränderungen kann sich eine Station auf eine 12 monatliche Übergangsfrist vom Zeitpunkt der Inkraftsetzung durch den Vorstand bis zur Bestätigung der Eingabe des vollständigen Zertifizierungsdossiers berufen.</v>
      </c>
    </row>
    <row r="231" spans="1:23" ht="56">
      <c r="B231" s="1973"/>
      <c r="C231" s="114" t="s">
        <v>2114</v>
      </c>
      <c r="D231" s="64" t="str">
        <f t="shared" si="20"/>
        <v>Der Vorstand kann längere Übergangsfristen festlegen. Diese werden den jeweiligen Änderungen speziell zugeordnet und sind direkt beim Kriterium mit der Laufzeit erwähnt.</v>
      </c>
      <c r="E231" s="38"/>
      <c r="R231" s="216" t="s">
        <v>2115</v>
      </c>
      <c r="S231" s="313" t="s">
        <v>2125</v>
      </c>
      <c r="T231" s="383" t="str">
        <f t="shared" si="17"/>
        <v>Der Vorstand kann längere Übergangsfristen festlegen. Diese werden den jeweiligen Änderungen speziell zugeordnet und sind direkt beim Kriterium mit der Laufzeit erwähnt.</v>
      </c>
    </row>
    <row r="241" spans="1:23">
      <c r="T241" s="385" t="str">
        <f t="shared" si="17"/>
        <v/>
      </c>
      <c r="W241" s="385" t="str">
        <f t="shared" si="18"/>
        <v/>
      </c>
    </row>
    <row r="242" spans="1:23">
      <c r="A242" s="18" t="str">
        <f>T242</f>
        <v>Total:</v>
      </c>
      <c r="R242" s="220" t="s">
        <v>336</v>
      </c>
      <c r="S242" s="343" t="s">
        <v>336</v>
      </c>
      <c r="T242" s="383" t="str">
        <f t="shared" si="17"/>
        <v>Total:</v>
      </c>
      <c r="W242" s="383" t="str">
        <f t="shared" si="18"/>
        <v/>
      </c>
    </row>
    <row r="243" spans="1:23">
      <c r="A243" s="138">
        <f>SUM(A23:A226)</f>
        <v>108</v>
      </c>
      <c r="B243" s="65">
        <f>COUNTIF(B23:B226,"0     1     2")*2</f>
        <v>70</v>
      </c>
      <c r="D243" s="108" t="str">
        <f>T243</f>
        <v>Summe aller möglichen Punkte</v>
      </c>
      <c r="R243" s="201" t="s">
        <v>348</v>
      </c>
      <c r="S243" s="326" t="s">
        <v>452</v>
      </c>
      <c r="T243" s="383" t="str">
        <f t="shared" si="17"/>
        <v>Summe aller möglichen Punkte</v>
      </c>
      <c r="W243" s="383" t="str">
        <f t="shared" si="18"/>
        <v/>
      </c>
    </row>
    <row r="244" spans="1:23" ht="18.75" customHeight="1">
      <c r="A244" s="108" t="str">
        <f>T244</f>
        <v>Mindestanforderung</v>
      </c>
      <c r="R244" s="220" t="s">
        <v>340</v>
      </c>
      <c r="S244" s="343" t="s">
        <v>453</v>
      </c>
      <c r="T244" s="383" t="str">
        <f t="shared" si="17"/>
        <v>Mindestanforderung</v>
      </c>
      <c r="W244" s="383" t="str">
        <f t="shared" si="18"/>
        <v/>
      </c>
    </row>
    <row r="245" spans="1:23">
      <c r="A245" s="164">
        <v>1</v>
      </c>
      <c r="B245" s="165">
        <v>0.8</v>
      </c>
      <c r="D245" s="135" t="str">
        <f>T245</f>
        <v>Gefordete % für Zertifikation ohne Auflagen</v>
      </c>
      <c r="R245" s="218" t="s">
        <v>343</v>
      </c>
      <c r="S245" s="344" t="s">
        <v>661</v>
      </c>
      <c r="T245" s="383" t="str">
        <f t="shared" si="17"/>
        <v>Gefordete % für Zertifikation ohne Auflagen</v>
      </c>
      <c r="W245" s="383" t="str">
        <f t="shared" si="18"/>
        <v/>
      </c>
    </row>
    <row r="246" spans="1:23">
      <c r="A246" s="166">
        <f>A243*A245</f>
        <v>108</v>
      </c>
      <c r="B246" s="167">
        <f>B243*B245</f>
        <v>56</v>
      </c>
      <c r="D246" s="18" t="str">
        <f>T246</f>
        <v>Gefordete Punktzahl für Zertifikation ohne Auflagen</v>
      </c>
      <c r="R246" s="218" t="s">
        <v>688</v>
      </c>
      <c r="S246" s="344" t="s">
        <v>689</v>
      </c>
      <c r="T246" s="383" t="str">
        <f t="shared" si="17"/>
        <v>Gefordete Punktzahl für Zertifikation ohne Auflagen</v>
      </c>
      <c r="W246" s="383" t="str">
        <f t="shared" si="18"/>
        <v/>
      </c>
    </row>
    <row r="247" spans="1:23">
      <c r="T247" s="385" t="str">
        <f t="shared" si="17"/>
        <v/>
      </c>
      <c r="W247" s="385" t="str">
        <f t="shared" si="18"/>
        <v/>
      </c>
    </row>
    <row r="248" spans="1:23" s="141" customFormat="1">
      <c r="A248" s="141" t="str">
        <f>T248</f>
        <v>Anzahl Kriterien</v>
      </c>
      <c r="C248" s="142"/>
      <c r="E248" s="143"/>
      <c r="R248" s="220" t="s">
        <v>346</v>
      </c>
      <c r="S248" s="343" t="s">
        <v>454</v>
      </c>
      <c r="T248" s="383" t="str">
        <f t="shared" si="17"/>
        <v>Anzahl Kriterien</v>
      </c>
      <c r="U248" s="230"/>
      <c r="V248" s="355"/>
      <c r="W248" s="383" t="str">
        <f t="shared" si="18"/>
        <v/>
      </c>
    </row>
    <row r="249" spans="1:23" s="141" customFormat="1" ht="11">
      <c r="A249" s="144">
        <f>COUNTA(A23:A226)</f>
        <v>108</v>
      </c>
      <c r="B249" s="144">
        <f>COUNTA(B23:B226)</f>
        <v>35</v>
      </c>
      <c r="C249" s="142"/>
      <c r="E249" s="143"/>
      <c r="R249" s="219"/>
      <c r="S249" s="345"/>
      <c r="T249" s="383" t="str">
        <f t="shared" si="17"/>
        <v/>
      </c>
      <c r="U249" s="230"/>
      <c r="V249" s="355"/>
      <c r="W249" s="383" t="str">
        <f t="shared" si="18"/>
        <v/>
      </c>
    </row>
    <row r="250" spans="1:23" s="141" customFormat="1">
      <c r="A250" s="141" t="str">
        <f>T250</f>
        <v>Kontrolle:</v>
      </c>
      <c r="C250" s="142"/>
      <c r="E250" s="143"/>
      <c r="R250" s="220" t="s">
        <v>345</v>
      </c>
      <c r="S250" s="343" t="s">
        <v>455</v>
      </c>
      <c r="T250" s="383" t="str">
        <f t="shared" si="17"/>
        <v>Kontrolle:</v>
      </c>
      <c r="U250" s="230"/>
      <c r="V250" s="355"/>
      <c r="W250" s="383" t="str">
        <f t="shared" si="18"/>
        <v/>
      </c>
    </row>
    <row r="251" spans="1:23" s="141" customFormat="1" ht="11">
      <c r="A251" s="144" t="str">
        <f>IF((A249-A243)=0,"ok","error")</f>
        <v>ok</v>
      </c>
      <c r="B251" s="144" t="str">
        <f>IF((B249*2-B243)=0,"ok","error")</f>
        <v>ok</v>
      </c>
      <c r="C251" s="142"/>
      <c r="E251" s="143"/>
      <c r="R251" s="219"/>
      <c r="S251" s="345"/>
      <c r="T251" s="383" t="str">
        <f t="shared" si="17"/>
        <v/>
      </c>
      <c r="U251" s="230"/>
      <c r="V251" s="355"/>
      <c r="W251" s="383" t="str">
        <f t="shared" si="18"/>
        <v/>
      </c>
    </row>
    <row r="252" spans="1:23">
      <c r="T252" s="385" t="str">
        <f t="shared" si="17"/>
        <v/>
      </c>
      <c r="W252" s="385" t="str">
        <f t="shared" si="18"/>
        <v/>
      </c>
    </row>
    <row r="253" spans="1:23">
      <c r="T253" s="385" t="str">
        <f t="shared" si="17"/>
        <v/>
      </c>
      <c r="W253" s="385" t="str">
        <f t="shared" si="18"/>
        <v/>
      </c>
    </row>
    <row r="254" spans="1:23">
      <c r="T254" s="385" t="str">
        <f t="shared" si="17"/>
        <v/>
      </c>
      <c r="W254" s="385" t="str">
        <f t="shared" si="18"/>
        <v/>
      </c>
    </row>
    <row r="255" spans="1:23">
      <c r="T255" s="385" t="str">
        <f t="shared" si="17"/>
        <v/>
      </c>
      <c r="W255" s="385" t="str">
        <f t="shared" si="18"/>
        <v/>
      </c>
    </row>
  </sheetData>
  <sheetProtection selectLockedCells="1"/>
  <mergeCells count="7">
    <mergeCell ref="B1:C1"/>
    <mergeCell ref="A2:E2"/>
    <mergeCell ref="A18:E18"/>
    <mergeCell ref="A6:E6"/>
    <mergeCell ref="A7:E7"/>
    <mergeCell ref="A17:E17"/>
    <mergeCell ref="C5:D5"/>
  </mergeCells>
  <phoneticPr fontId="59" type="noConversion"/>
  <conditionalFormatting sqref="A1">
    <cfRule type="containsText" dxfId="1" priority="1" operator="containsText" text="F">
      <formula>NOT(ISERROR(SEARCH("F",A1)))</formula>
    </cfRule>
  </conditionalFormatting>
  <hyperlinks>
    <hyperlink ref="Z64" r:id="rId1" xr:uid="{00000000-0004-0000-0800-000000000000}"/>
  </hyperlinks>
  <pageMargins left="0.78740157480314965" right="0.78740157480314965" top="0.98425196850393704" bottom="0.98425196850393704" header="0.51181102362204722" footer="0.51181102362204722"/>
  <pageSetup paperSize="9" scale="57" fitToHeight="0" orientation="portrait" horizontalDpi="4294967292" verticalDpi="4294967292"/>
  <headerFooter alignWithMargins="0">
    <oddFooter>&amp;RS. &amp;P/&amp;N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Liste!$F$2:$F$3</xm:f>
          </x14:formula1>
          <xm:sqref>A1</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12</vt:i4>
      </vt:variant>
      <vt:variant>
        <vt:lpstr>Plages nommées</vt:lpstr>
      </vt:variant>
      <vt:variant>
        <vt:i4>14</vt:i4>
      </vt:variant>
    </vt:vector>
  </HeadingPairs>
  <TitlesOfParts>
    <vt:vector size="26" baseType="lpstr">
      <vt:lpstr>4a Exp-ZK</vt:lpstr>
      <vt:lpstr>4b Visitation</vt:lpstr>
      <vt:lpstr>4c PlanVisit.</vt:lpstr>
      <vt:lpstr>4d Report</vt:lpstr>
      <vt:lpstr>0 PROZEDUR</vt:lpstr>
      <vt:lpstr>1 ANTRAG-DEMANDE</vt:lpstr>
      <vt:lpstr>2 Autodeklaration</vt:lpstr>
      <vt:lpstr>3 DATA-EPT-FTE</vt:lpstr>
      <vt:lpstr>Kriterien</vt:lpstr>
      <vt:lpstr>IMK</vt:lpstr>
      <vt:lpstr>Historik Version</vt:lpstr>
      <vt:lpstr>Liste</vt:lpstr>
      <vt:lpstr>'1 ANTRAG-DEMANDE'!Impression_des_titres</vt:lpstr>
      <vt:lpstr>'2 Autodeklaration'!Impression_des_titres</vt:lpstr>
      <vt:lpstr>'3 DATA-EPT-FTE'!Impression_des_titres</vt:lpstr>
      <vt:lpstr>'4b Visitation'!Impression_des_titres</vt:lpstr>
      <vt:lpstr>'4d Report'!Impression_des_titres</vt:lpstr>
      <vt:lpstr>'Historik Version'!Impression_des_titres</vt:lpstr>
      <vt:lpstr>Kriterien!Impression_des_titres</vt:lpstr>
      <vt:lpstr>'1 ANTRAG-DEMANDE'!Zone_d_impression</vt:lpstr>
      <vt:lpstr>'2 Autodeklaration'!Zone_d_impression</vt:lpstr>
      <vt:lpstr>'3 DATA-EPT-FTE'!Zone_d_impression</vt:lpstr>
      <vt:lpstr>'4b Visitation'!Zone_d_impression</vt:lpstr>
      <vt:lpstr>'4c PlanVisit.'!Zone_d_impression</vt:lpstr>
      <vt:lpstr>'4d Report'!Zone_d_impression</vt:lpstr>
      <vt:lpstr>Kriterien!Zone_d_impression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NB42</dc:creator>
  <cp:lastModifiedBy>Govind Sridharan</cp:lastModifiedBy>
  <cp:lastPrinted>2025-02-13T09:23:38Z</cp:lastPrinted>
  <dcterms:created xsi:type="dcterms:W3CDTF">2015-10-22T09:32:08Z</dcterms:created>
  <dcterms:modified xsi:type="dcterms:W3CDTF">2025-09-29T18:42:29Z</dcterms:modified>
</cp:coreProperties>
</file>